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5150" windowHeight="9600" activeTab="0"/>
  </bookViews>
  <sheets>
    <sheet name="Create_PC" sheetId="1" r:id="rId1"/>
    <sheet name="TriFold" sheetId="2" r:id="rId2"/>
    <sheet name="Print_PC" sheetId="3" r:id="rId3"/>
    <sheet name="LUP" sheetId="4" r:id="rId4"/>
  </sheets>
  <externalReferences>
    <externalReference r:id="rId7"/>
  </externalReferences>
  <definedNames>
    <definedName name="A">'[1]Create a PC'!$U$5</definedName>
    <definedName name="AB">'[1]Create a PC'!$X$18</definedName>
    <definedName name="Agcy">'Create_PC'!$D$7</definedName>
    <definedName name="Age">'[1]Looks&amp;Equip'!$AH$3</definedName>
    <definedName name="Bkg">'Create_PC'!$D$6</definedName>
    <definedName name="Bld">'Create_PC'!$I$6</definedName>
    <definedName name="Blood">'[1]Looks&amp;Equip'!$AH$4</definedName>
    <definedName name="BPlace">'Create_PC'!$D$3</definedName>
    <definedName name="Btype">'Create_PC'!$I$6</definedName>
    <definedName name="CampDate">'[1]Instructions'!$P$16</definedName>
    <definedName name="clout">'Create_PC'!$J$11</definedName>
    <definedName name="Cname">'Create_PC'!$I$7</definedName>
    <definedName name="Cnamw">'Create_PC'!$I$7</definedName>
    <definedName name="CnvTN">'LUP'!$H$50:$H$57</definedName>
    <definedName name="crime">'LUP'!$G$11:$I$18</definedName>
    <definedName name="Dbirth">'Create_PC'!$D$4</definedName>
    <definedName name="Dept">'[1]Create a PC'!$E$5</definedName>
    <definedName name="DOB">'Create_PC'!$D$4</definedName>
    <definedName name="Done">'[1]Create a PC'!$BH$2</definedName>
    <definedName name="Eye">'Create_PC'!$I$5</definedName>
    <definedName name="Genre">'Create_PC'!$B$1</definedName>
    <definedName name="Hair">'Create_PC'!$I$4</definedName>
    <definedName name="Hand">'[1]Looks&amp;Equip'!$AH$2</definedName>
    <definedName name="Heritage">'[1]Create a PC'!$E$4</definedName>
    <definedName name="Ht">'Create_PC'!$I$2</definedName>
    <definedName name="LAgcy">'LUP'!$B$10:$B$17</definedName>
    <definedName name="LBkg">'LUP'!$B$3:$B$7</definedName>
    <definedName name="LRank">'LUP'!$K$1:$K$24</definedName>
    <definedName name="Lup1">'LUP'!$B:$K</definedName>
    <definedName name="Lup2">'LUP'!$C:$D</definedName>
    <definedName name="Name">'Create_PC'!$D$2</definedName>
    <definedName name="Nation">'[1]Create a PC'!$E$5</definedName>
    <definedName name="POB">'Create_PC'!$D$3</definedName>
    <definedName name="Prating">'[1]Powers'!$AM$3</definedName>
    <definedName name="Race">'[1]Create a PC'!$E$3</definedName>
    <definedName name="Sex">'Create_PC'!$D$5</definedName>
    <definedName name="Shortcoming">'LUP'!$F$27:$F$48</definedName>
    <definedName name="Skin">'[1]Looks&amp;Equip'!$AC$4</definedName>
    <definedName name="SM">'[1]Create a PC'!$U$6</definedName>
    <definedName name="SP">'[1]Create a PC'!$U$8</definedName>
    <definedName name="spcl">'LUP'!$E$49:$H$58</definedName>
    <definedName name="ST">'[1]Create a PC'!$U$7</definedName>
    <definedName name="Title">'Create_PC'!$B$9</definedName>
    <definedName name="Tough">'[1]Create a PC'!$AA$5</definedName>
    <definedName name="val">'Create_PC'!$K$11</definedName>
    <definedName name="VI">'[1]Create a PC'!$U$9</definedName>
    <definedName name="Wpns">'LUP'!$B$96:$B$143</definedName>
    <definedName name="Wt">'Create_PC'!$I$3</definedName>
  </definedNames>
  <calcPr fullCalcOnLoad="1"/>
</workbook>
</file>

<file path=xl/comments1.xml><?xml version="1.0" encoding="utf-8"?>
<comments xmlns="http://schemas.openxmlformats.org/spreadsheetml/2006/main">
  <authors>
    <author>Robert Rosenthal</author>
  </authors>
  <commentList>
    <comment ref="I14" authorId="0">
      <text>
        <r>
          <rPr>
            <sz val="8"/>
            <rFont val="Tahoma"/>
            <family val="2"/>
          </rPr>
          <t>Enter Area of Study/Focus:
e.g. Law: Crime</t>
        </r>
        <r>
          <rPr>
            <sz val="8"/>
            <rFont val="Tahoma"/>
            <family val="0"/>
          </rPr>
          <t xml:space="preserve">
</t>
        </r>
      </text>
    </comment>
    <comment ref="B14" authorId="0">
      <text>
        <r>
          <rPr>
            <b/>
            <sz val="8"/>
            <rFont val="Tahoma"/>
            <family val="0"/>
          </rPr>
          <t xml:space="preserve">Enter an "S" to assign one skill level, Two "S" to assign 2 levels.
E.g. "SS" = 2 levels. 
</t>
        </r>
        <r>
          <rPr>
            <sz val="8"/>
            <rFont val="Tahoma"/>
            <family val="0"/>
          </rPr>
          <t xml:space="preserve">
</t>
        </r>
      </text>
    </comment>
    <comment ref="G14" authorId="0">
      <text>
        <r>
          <rPr>
            <sz val="8"/>
            <rFont val="Tahoma"/>
            <family val="2"/>
          </rPr>
          <t xml:space="preserve">Enter an "S" to assign one skill level, Two "S" to assign 2 levels.
E.g. "SS" = 2 levels. </t>
        </r>
      </text>
    </comment>
    <comment ref="P12" authorId="0">
      <text>
        <r>
          <rPr>
            <b/>
            <sz val="8"/>
            <rFont val="Tahoma"/>
            <family val="0"/>
          </rPr>
          <t xml:space="preserve">Enter an "S" to assign one skill level, Two "S" to assign 2 levels.
E.g. "SS" = 2 levels. 
</t>
        </r>
        <r>
          <rPr>
            <sz val="8"/>
            <rFont val="Tahoma"/>
            <family val="0"/>
          </rPr>
          <t xml:space="preserve">
</t>
        </r>
      </text>
    </comment>
    <comment ref="P2" authorId="0">
      <text>
        <r>
          <rPr>
            <b/>
            <sz val="8"/>
            <rFont val="Tahoma"/>
            <family val="0"/>
          </rPr>
          <t xml:space="preserve">Enter an "S" to assign one skill level, Two "S" to assign 2 levels.
E.g. "SS" = 2 levels. 
</t>
        </r>
        <r>
          <rPr>
            <sz val="8"/>
            <rFont val="Tahoma"/>
            <family val="0"/>
          </rPr>
          <t xml:space="preserve">
</t>
        </r>
      </text>
    </comment>
    <comment ref="P22" authorId="0">
      <text>
        <r>
          <rPr>
            <b/>
            <sz val="10"/>
            <color indexed="16"/>
            <rFont val="Tahoma"/>
            <family val="2"/>
          </rPr>
          <t xml:space="preserve">Enter an "S" to assign one skill level, Two "S" to assign 2 levels.
E.g. "SS" = 2 levels. </t>
        </r>
        <r>
          <rPr>
            <b/>
            <sz val="8"/>
            <rFont val="Tahoma"/>
            <family val="0"/>
          </rPr>
          <t xml:space="preserve">
</t>
        </r>
        <r>
          <rPr>
            <sz val="8"/>
            <rFont val="Tahoma"/>
            <family val="0"/>
          </rPr>
          <t xml:space="preserve">
</t>
        </r>
      </text>
    </comment>
    <comment ref="V12" authorId="0">
      <text>
        <r>
          <rPr>
            <b/>
            <sz val="8"/>
            <rFont val="Tahoma"/>
            <family val="0"/>
          </rPr>
          <t xml:space="preserve">Enter an "S" to assign one skill level, Two "S" to assign 2 levels.
E.g. "SS" = 2 levels. 
</t>
        </r>
        <r>
          <rPr>
            <sz val="8"/>
            <rFont val="Tahoma"/>
            <family val="0"/>
          </rPr>
          <t xml:space="preserve">
</t>
        </r>
      </text>
    </comment>
    <comment ref="B1" authorId="0">
      <text>
        <r>
          <rPr>
            <b/>
            <sz val="8"/>
            <rFont val="Tahoma"/>
            <family val="2"/>
          </rPr>
          <t>Select Rule Set:
*CRIME NETWORK or
* TERROR NETWORK</t>
        </r>
        <r>
          <rPr>
            <sz val="8"/>
            <rFont val="Tahoma"/>
            <family val="0"/>
          </rPr>
          <t xml:space="preserve">
</t>
        </r>
      </text>
    </comment>
  </commentList>
</comments>
</file>

<file path=xl/sharedStrings.xml><?xml version="1.0" encoding="utf-8"?>
<sst xmlns="http://schemas.openxmlformats.org/spreadsheetml/2006/main" count="688" uniqueCount="390">
  <si>
    <t>Special Agent:</t>
  </si>
  <si>
    <t xml:space="preserve">This is the rank of most FBI field agents. Special Agents are organized into Squads when in the field. </t>
  </si>
  <si>
    <t>Supervisor:</t>
  </si>
  <si>
    <t xml:space="preserve">A Supervisor is a Special Agent who oversees a Squad in the field. </t>
  </si>
  <si>
    <t>Special Agent in Charge:</t>
  </si>
  <si>
    <t xml:space="preserve">The FBI operates out of Field offices throughout the Country, and even the world. Each field office is headed by a Special Agent in Charge. </t>
  </si>
  <si>
    <t>SWAT Specialist:</t>
  </si>
  <si>
    <t xml:space="preserve">These specially trained Agents, engage in SWAT operations. SWAT certification is rigorous, and each SWAT member has an area of Expertise. </t>
  </si>
  <si>
    <t>Assistant Special Agent in Charge:</t>
  </si>
  <si>
    <t xml:space="preserve">Each division or branch within a field office is headed by an Assistant Special Agent in Charge. </t>
  </si>
  <si>
    <t>FBI Director:</t>
  </si>
  <si>
    <t xml:space="preserve">The FBI Director is in charge of the FBI. The President Appoints FBI Directors. </t>
  </si>
  <si>
    <t>Executive Assistants:</t>
  </si>
  <si>
    <t xml:space="preserve">Each branch or Division of the FBI is headed by an Executive Assistant. </t>
  </si>
  <si>
    <t>Skill Points</t>
  </si>
  <si>
    <t>Knowledge</t>
  </si>
  <si>
    <t>Specialist</t>
  </si>
  <si>
    <t>Defenses</t>
  </si>
  <si>
    <t>Parry</t>
  </si>
  <si>
    <t>Evade</t>
  </si>
  <si>
    <t>Resolve</t>
  </si>
  <si>
    <t>Stealth</t>
  </si>
  <si>
    <t>Wits</t>
  </si>
  <si>
    <t>Small Arms</t>
  </si>
  <si>
    <t>Medium Arms</t>
  </si>
  <si>
    <t>Heavy Arms</t>
  </si>
  <si>
    <t>Explosives</t>
  </si>
  <si>
    <t>Hand-to-Hand</t>
  </si>
  <si>
    <t>Athletics</t>
  </si>
  <si>
    <t>Balance</t>
  </si>
  <si>
    <t>Muscle</t>
  </si>
  <si>
    <t>Endurance</t>
  </si>
  <si>
    <t>Speed</t>
  </si>
  <si>
    <t>Swim</t>
  </si>
  <si>
    <t>Persuasion</t>
  </si>
  <si>
    <t>Interrogation</t>
  </si>
  <si>
    <t>Acting</t>
  </si>
  <si>
    <t>Empathy</t>
  </si>
  <si>
    <t>Detect</t>
  </si>
  <si>
    <t>Reasoning</t>
  </si>
  <si>
    <t>Helicopter</t>
  </si>
  <si>
    <t>Car</t>
  </si>
  <si>
    <t>Motorcycle</t>
  </si>
  <si>
    <t>Boat</t>
  </si>
  <si>
    <t>Computers</t>
  </si>
  <si>
    <t>Forensics</t>
  </si>
  <si>
    <t>Intelligence</t>
  </si>
  <si>
    <t>Combat</t>
  </si>
  <si>
    <t>Physical</t>
  </si>
  <si>
    <t>Mental</t>
  </si>
  <si>
    <t>Terror Network</t>
  </si>
  <si>
    <t>Name</t>
  </si>
  <si>
    <t>Place of Birth</t>
  </si>
  <si>
    <t>Date of Birth</t>
  </si>
  <si>
    <t>Sex</t>
  </si>
  <si>
    <t>Hardiness</t>
  </si>
  <si>
    <t>Sniper</t>
  </si>
  <si>
    <t>Science:</t>
  </si>
  <si>
    <t>Law:</t>
  </si>
  <si>
    <t>History:</t>
  </si>
  <si>
    <t>Geo-P:</t>
  </si>
  <si>
    <t>Lang:</t>
  </si>
  <si>
    <t>Talent:</t>
  </si>
  <si>
    <t>Armored</t>
  </si>
  <si>
    <t>Planes</t>
  </si>
  <si>
    <t>DEFENSES</t>
  </si>
  <si>
    <t>COMBAT</t>
  </si>
  <si>
    <t>PHYSICAL</t>
  </si>
  <si>
    <t>MENTAL</t>
  </si>
  <si>
    <t>KNOWLEDGE</t>
  </si>
  <si>
    <t>VEHICLE</t>
  </si>
  <si>
    <t>SPECIALIST</t>
  </si>
  <si>
    <t>Add Photo</t>
  </si>
  <si>
    <t>Height</t>
  </si>
  <si>
    <t>Weight</t>
  </si>
  <si>
    <t>Hair Color</t>
  </si>
  <si>
    <t>Eye Color</t>
  </si>
  <si>
    <t>Primary Skills</t>
  </si>
  <si>
    <t>Choose Primary skills (Starting 12 skill points) and Secondary skills (Starting 9 skill points)</t>
  </si>
  <si>
    <t>Blood Type</t>
  </si>
  <si>
    <t>Skill Pts:</t>
  </si>
  <si>
    <t>Background</t>
  </si>
  <si>
    <t>Military</t>
  </si>
  <si>
    <t>You spent time in the military and perhaps served your country in a time of war. The military provided you with valuable training that translates well into a career in counter terrorism.  
Primary Skills: Combat plus any 2 Skill Groups
  Contacts: One Military Contact plus any 2 Contacts of your choice</t>
  </si>
  <si>
    <t>You hold several advanced degrees and perhaps worked for a short time as a professor. Academia provided you with a foundation of knowledge helpful to a career in counter terrorism. 
Primary Skills: Knowledge plus any 2 Skill Groups
  Contacts: One Academic Contact plus any 2 Contacts of your choice</t>
  </si>
  <si>
    <t>You worked in the civilian sector before joining your agency. Civilian life provided you with real world experience and Skills that advance your career in counter terrorism. 
Primary Skills: Specialist plus any 2 Skill Groups
  Contacts: One Civilian plus any 2 Contacts of choice</t>
  </si>
  <si>
    <t>Homeland Security</t>
  </si>
  <si>
    <t>Local Law Enforcement:</t>
  </si>
  <si>
    <t>Non-Government Agency:</t>
  </si>
  <si>
    <t>Homeland Security:</t>
  </si>
  <si>
    <t>CIA:</t>
  </si>
  <si>
    <t>FBI:</t>
  </si>
  <si>
    <t xml:space="preserve">In most standard Campaigns, characters are FBI agents. The FBI is responsible for conducting investigations and preventing terrorist attacks. FBI campaigns are fun because they provide the best of both worlds. Characters have opportunities to use their brains and their fighting Skills. </t>
  </si>
  <si>
    <r>
      <t>In most standard campaigns, characters gather intelligence abroad as CIA agents. The CIA supplies the president with vital security intelligence. CIA campaigns are fun because they aren’t restricted to the US. Character have opportunities to visit exotic countries and live a life of adventure.</t>
    </r>
    <r>
      <rPr>
        <b/>
        <sz val="12"/>
        <rFont val="Futura Bk"/>
        <family val="0"/>
      </rPr>
      <t xml:space="preserve"> </t>
    </r>
  </si>
  <si>
    <t>In some Campaigns, characters are Homeland Security Agents charged with protecting a specific area from terrorism, or called in response to a terrorist attack or threat. Homeland Security responds to terrorist attacks and natural disasters. Because of their restrictive nature, Homeland Security campaigns are discouraged. If you want to play a Homeland Security Agent, consider a Joint Terrorism Task Force campaign (detailed in the Counter Terrorism section).</t>
  </si>
  <si>
    <t xml:space="preserve">Players can also be members of special operation units in the military. All Special operations units are headed by U.S. Special Operations Command and include Navy Warfare Special Operations, US Army Special Forces and Air Force Special Operations. </t>
  </si>
  <si>
    <t>U.S. Special Operations Command:</t>
  </si>
  <si>
    <t xml:space="preserve">Characters that work for Non Government Agencies work as contractors for Defense Companies like Black Water or Infragard. Game Masters and Players can also invent fictional Companies to suit their needs. Working for Non Government Agencies, allows for more flexible campaign structure and player freedom. Player Characters can fight Terrorism, without the hassle of Government Bureaucracy. </t>
  </si>
  <si>
    <t xml:space="preserve">Characters serve a city or state law Enforcement Agency.  </t>
  </si>
  <si>
    <t>Agencies</t>
  </si>
  <si>
    <t>Analysts (Directorate of Intelligence):</t>
  </si>
  <si>
    <t xml:space="preserve">Analysts assess intelligence information after it has been gathered. Analysts usually specialize in a particular area such as Counter Terrorism, Narcotics, Politics, etc. </t>
  </si>
  <si>
    <t>Case Officers (National Clandestine Service):</t>
  </si>
  <si>
    <t xml:space="preserve">Case Officers are basically spies. They assess and recruit individuals with access to vital foreign intelligence. </t>
  </si>
  <si>
    <t>Case Management Officers (National Clandestine Services):</t>
  </si>
  <si>
    <t xml:space="preserve">Case Management Officers oversee Case Officers. </t>
  </si>
  <si>
    <t>Language Officer (National Clandestine Services):</t>
  </si>
  <si>
    <t xml:space="preserve">Language Officers support Case Officers in the field. They provide translation services and cultural insight. </t>
  </si>
  <si>
    <t>Operational Psychologist:</t>
  </si>
  <si>
    <t xml:space="preserve">Provide the CIA with behavioral science insights by performing personality tests, assessments and training.  </t>
  </si>
  <si>
    <t>Specialized Skill Officers (National Clandestine Services):</t>
  </si>
  <si>
    <t>Specialized Skill Officers engage in Covert Operations abroad (see Counter Terrorism Section), but also have domestic duties in Washington. Specialized Skill Officers lend their skills to support CIA Operations. They work at Langley Headquarters and abroad in hostile environments. They are part of the Special Activities Division of the CIA.</t>
  </si>
  <si>
    <t>Staff Operations Officers (National Clandestine Services):</t>
  </si>
  <si>
    <t xml:space="preserve">Staff Operations Officers are the touchstone between Human Intelligence officers in the field and headquarters. They help coordinate and guide intelligence gathering efforts. </t>
  </si>
  <si>
    <t>Director of CIA:</t>
  </si>
  <si>
    <t xml:space="preserve">The Director of the CIA is in charge of the CIA. The director is appointed by the President. </t>
  </si>
  <si>
    <t>Directors:</t>
  </si>
  <si>
    <t xml:space="preserve">Each branch, or Directorate, of the CIA is headed by a Director. </t>
  </si>
  <si>
    <t>Homeland Security Secretary:</t>
  </si>
  <si>
    <t xml:space="preserve">The Homeland Security Secretary is in Charge of Homeland Security. The President Appoints Homeland Security Secretaries. </t>
  </si>
  <si>
    <t>US Secret Service Director:</t>
  </si>
  <si>
    <t xml:space="preserve">The US Secret Service Director is head of Secret Service. </t>
  </si>
  <si>
    <t>US Secret Service Assistant Director of Investigations:</t>
  </si>
  <si>
    <t xml:space="preserve">The assistant director of investigations is in charge of all Investigations conducted by the Secret Service. </t>
  </si>
  <si>
    <t>US Secret Service Assistant Director of Protective Operations:</t>
  </si>
  <si>
    <t xml:space="preserve">The Assistant Director of Protective Operations is in charge of all Secret Service operations to protect VIP personalities. </t>
  </si>
  <si>
    <t>TSA Administrator:</t>
  </si>
  <si>
    <t xml:space="preserve">The TSA Administrator is in charge of the TSA. </t>
  </si>
  <si>
    <t>Special Agent (Secret Service):</t>
  </si>
  <si>
    <t xml:space="preserve"> Special Agents in the Secret Service are charged with protection of VIP personalities and investigation of crimes against the financial system. </t>
  </si>
  <si>
    <t>Uniformed Division Officer (Secret Service):</t>
  </si>
  <si>
    <t xml:space="preserve"> Uniformed Officers who protect VIP Personalities and locations. </t>
  </si>
  <si>
    <t>Federal Air Marshal:</t>
  </si>
  <si>
    <t xml:space="preserve">These plain clothed officers blend in with passengers at airports and on planes, and act as a line of defense against would-be terrorists. They must operate independently and demonstrate great accuracy with firearms. </t>
  </si>
  <si>
    <t>Officer:</t>
  </si>
  <si>
    <t xml:space="preserve">A uniformed police officer in the line of duty. Police Officers may have specialized skills or training. </t>
  </si>
  <si>
    <t>Detective:</t>
  </si>
  <si>
    <t xml:space="preserve">A plain clothed police officer with special training in investigation techniques. </t>
  </si>
  <si>
    <t>Sergeant:</t>
  </si>
  <si>
    <t xml:space="preserve">Sergeants supervise squads of other officers or head a special unit. </t>
  </si>
  <si>
    <t>Lieutenant:</t>
  </si>
  <si>
    <t xml:space="preserve">Lieutenants are in charge of a division of the police department. </t>
  </si>
  <si>
    <t>Captain:</t>
  </si>
  <si>
    <t xml:space="preserve">In charge of smaller police stations or divisions. </t>
  </si>
  <si>
    <t>Assistant Chief of Police:</t>
  </si>
  <si>
    <t xml:space="preserve">Heads the police department in the absence of the Chief of Police. </t>
  </si>
  <si>
    <t>Chief of Police:</t>
  </si>
  <si>
    <t xml:space="preserve">Head of the entire police department. </t>
  </si>
  <si>
    <t>Private 1-2:</t>
  </si>
  <si>
    <t>This is the lowest ranking military soldier, followed by Private E2. Equivalents: Private (Marines), Seaman (Navy), and Airman (Air Force).</t>
  </si>
  <si>
    <t>Private First Class:</t>
  </si>
  <si>
    <t xml:space="preserve">Most Privates are promoted to private first class after 12 months. Equivalents: Lance Corporal (Marines), Seaman (Navy), Airman First Class (Air Force). </t>
  </si>
  <si>
    <t>Specialist:</t>
  </si>
  <si>
    <t xml:space="preserve">The last of the junior ranks in the Military. Specialists have specialized Trade knowledge. </t>
  </si>
  <si>
    <t>Corporal:</t>
  </si>
  <si>
    <t xml:space="preserve">These non commissioned officers have command of other soldiers. Equivalents: Corporal (Marines), Petty Officer 3rd Class (Navy), Senior Airman (Air Force). </t>
  </si>
  <si>
    <t xml:space="preserve">These non-commissioned officers usually lead fireteams of 4 men in the field.  Equivalents: Sergeant (Marines), Petty Officer 2nd Class (Navy), Staff Sergeant (Air Force). </t>
  </si>
  <si>
    <t>Staff Sergeant:</t>
  </si>
  <si>
    <t xml:space="preserve">These non-commissioned officers usually lead a squad of soldiers. Equivalents: Staff Sergeant (Marines), Petty Officer 1st Class (Navy), Technical Sergeant (Air Force). </t>
  </si>
  <si>
    <t>Sergeant First Class:</t>
  </si>
  <si>
    <t xml:space="preserve">These non-commissioned officers act as assistants to Platoon Leaders, or lead in the Platoon Leader’s absence. Equivalents: Gunnery Sergeant (Marines), Chief Petty Officer (Navy), Master Sergeant/First Sergeant E7 (Air Force). </t>
  </si>
  <si>
    <t>Master Sergeant:</t>
  </si>
  <si>
    <t>These senior non-commissioned officers function as the non-commissioned officers in charge (NCOI) of platoons and squads. They are leaders in combat and administration. Equivalents: Master Sergeant (Marines), Senior Chief Petty Officer (Navy), Senior Master Sergeant (Air Force).</t>
  </si>
  <si>
    <t>First Sergeant:</t>
  </si>
  <si>
    <t xml:space="preserve">These senior non-commissioned officers function as the NCOI of Batteries and Troops. They are frequently in charge of training as well. Equivalents: First Sergeant (Marines), First Sergeant E8 ( Air Force). </t>
  </si>
  <si>
    <t>Sergeant Major:</t>
  </si>
  <si>
    <t xml:space="preserve">These no-commissioned officers act as chief administrative assistants. Equivalents: Master Gunnery Sergeant (Marines), Master Chief Petty Officer (Navy), Chief Master Sergeant (Air Force). </t>
  </si>
  <si>
    <t>Command Sergeant Major:</t>
  </si>
  <si>
    <t xml:space="preserve">These non-commissioned officers act as spokesmen on behalf of soldiers in their unit to the upper levels of command. Equivalents: Sergeant Major (Marines), Command Master Chief Petty Officer (Navy), Command Chief Master Sergeant (Air Force). </t>
  </si>
  <si>
    <t>Sergeant Major of the Army:</t>
  </si>
  <si>
    <t xml:space="preserve">These noncommissioned officers act as spokesmen on behalf of soldiers to the upper levels of command. Equivalents: Sergeant Major of the Marine Corps (Marines), Master Chief Petty Officer of the Navy (Navy), Chief Master Sergeant of the Air Force. </t>
  </si>
  <si>
    <t>Warrant Officer 1-4:</t>
  </si>
  <si>
    <t xml:space="preserve">These non commissioned officers have a range of leadership duties.  Equivalents: Warrant Officer 1-4 (Marines). </t>
  </si>
  <si>
    <t>Lieutenant 1st and 2nd:</t>
  </si>
  <si>
    <t>This is the earliest level of Commissioned Officer. First and Second Lieutenants function as platoon leaders. Equivalents: Lieutenant 1st and 2nd (Marines and Air Force), Ensign and Lieutenant (Navy)</t>
  </si>
  <si>
    <t xml:space="preserve">These commissioned Officers often function as company commanders and instructors. Equivalents: Captain (Marines and Air Force), Lieutenant (Navy). </t>
  </si>
  <si>
    <t>Major:</t>
  </si>
  <si>
    <t xml:space="preserve"> These commissioned officers often command companies and special operations companies. They also function as senior executive officers in Battalions and Brigades. Equivalents: Major (Marines and Air Force), Lieutenant Commander (Navy). </t>
  </si>
  <si>
    <t>Lieutenant Colonel:</t>
  </si>
  <si>
    <t xml:space="preserve">These commissioned officers usually command battalions. Equivalents: Lieutenant Colonel (Marines and Air Force), Commander (Navy). </t>
  </si>
  <si>
    <t>Colonel:</t>
  </si>
  <si>
    <t xml:space="preserve">These commissioned officers usually command brigades. Equivalents: Colonel (Marines and Air Force), Captain (Navy). </t>
  </si>
  <si>
    <t>Brigadier General:</t>
  </si>
  <si>
    <t xml:space="preserve">These one star general officers function as deputy commanders of divisions. Equivalents: Brigadier General (Marines and Air Force), Rear Admiral (Navy). </t>
  </si>
  <si>
    <t>Major General:</t>
  </si>
  <si>
    <t>These two star general officers function as Division Commanders. Equivalents: Major General (Marines and Air Force), Rear Admiral (Navy).</t>
  </si>
  <si>
    <t>Lieutenant General:</t>
  </si>
  <si>
    <t xml:space="preserve">These three star general officers function as Corps Commanders. Equivalents: Lieutenant General (Marines and Air Force), Vice Admiral (Navy). </t>
  </si>
  <si>
    <t>General:</t>
  </si>
  <si>
    <t xml:space="preserve">These four star general officers command all operations inside a specified geographic area. Equivalents: General (Marines and Air Force), Admiral (Navy). </t>
  </si>
  <si>
    <t>General of Army:</t>
  </si>
  <si>
    <t xml:space="preserve">This five star general title is reserved for wartime and is the highest rank in the Army. Equivalents: Fleet Admiral (Navy), General of Air Force (Air Force). </t>
  </si>
  <si>
    <t>Points Left</t>
  </si>
  <si>
    <t>Skills</t>
  </si>
  <si>
    <t>Assign Points</t>
  </si>
  <si>
    <t>Expertise</t>
  </si>
  <si>
    <t xml:space="preserve">Engineering </t>
  </si>
  <si>
    <t>Security Systems</t>
  </si>
  <si>
    <t xml:space="preserve">Medicine </t>
  </si>
  <si>
    <t>Focus</t>
  </si>
  <si>
    <t>001</t>
  </si>
  <si>
    <t>002</t>
  </si>
  <si>
    <t>003</t>
  </si>
  <si>
    <t>C05</t>
  </si>
  <si>
    <t>L06</t>
  </si>
  <si>
    <t>M07</t>
  </si>
  <si>
    <t>M05</t>
  </si>
  <si>
    <t>Contact Type</t>
  </si>
  <si>
    <t>Notes</t>
  </si>
  <si>
    <t>Level</t>
  </si>
  <si>
    <t>TN</t>
  </si>
  <si>
    <t>Weapons</t>
  </si>
  <si>
    <t>Range</t>
  </si>
  <si>
    <t>Damage</t>
  </si>
  <si>
    <t>Ammo</t>
  </si>
  <si>
    <t>Type</t>
  </si>
  <si>
    <t>/3000</t>
  </si>
  <si>
    <t>-</t>
  </si>
  <si>
    <t>None</t>
  </si>
  <si>
    <t>NonLethal</t>
  </si>
  <si>
    <t>ROF?</t>
  </si>
  <si>
    <t>Armor</t>
  </si>
  <si>
    <t xml:space="preserve"> -2D</t>
  </si>
  <si>
    <t>Incapacitated</t>
  </si>
  <si>
    <t xml:space="preserve"> -1D</t>
  </si>
  <si>
    <t>Wound Tracker</t>
  </si>
  <si>
    <t>Crime Network</t>
  </si>
  <si>
    <t>DeLuca</t>
  </si>
  <si>
    <t>Lombardi</t>
  </si>
  <si>
    <t>Romano</t>
  </si>
  <si>
    <t>Baggio</t>
  </si>
  <si>
    <t>Corelli</t>
  </si>
  <si>
    <t>Martino</t>
  </si>
  <si>
    <t>Bartoli</t>
  </si>
  <si>
    <t>Santini</t>
  </si>
  <si>
    <t xml:space="preserve"> </t>
  </si>
  <si>
    <t>Associate</t>
  </si>
  <si>
    <t>Solider</t>
  </si>
  <si>
    <t>Captain (Capo)</t>
  </si>
  <si>
    <t>Consiglierre</t>
  </si>
  <si>
    <t>Under Boss</t>
  </si>
  <si>
    <t>Boss</t>
  </si>
  <si>
    <t>Godfather (N/A)</t>
  </si>
  <si>
    <t>Day to day responsibilities of the family</t>
  </si>
  <si>
    <t>Ultimately responsible for the family. Man in charge</t>
  </si>
  <si>
    <t>Overssees all the families</t>
  </si>
  <si>
    <t>Brain:</t>
  </si>
  <si>
    <t>Brawn:</t>
  </si>
  <si>
    <t>Cassanova:</t>
  </si>
  <si>
    <t>You know how to work the angles, but not too tough: Choose Primary Skill(s) Specialist or Knowledge + 1 other Primary skill</t>
  </si>
  <si>
    <t>Not the brightest bulb but tough. Make great soliders: Choose Primary Skill(s) Combat or Physical + 1 other Primary skill</t>
  </si>
  <si>
    <t>You are a loverboy and/or Charmer: Choose Primary Skill(s) Mental or Defense + 1 other Primary skill</t>
  </si>
  <si>
    <t>ShortComings:</t>
  </si>
  <si>
    <t>Enter details freeform</t>
  </si>
  <si>
    <t>Shortcoming Bonus</t>
  </si>
  <si>
    <t>Enter # for Bonus Skill Points from shortcomings below</t>
  </si>
  <si>
    <t>Instructions</t>
  </si>
  <si>
    <t>creation of your PC</t>
  </si>
  <si>
    <t>as appropriate for the</t>
  </si>
  <si>
    <r>
      <t xml:space="preserve"> </t>
    </r>
    <r>
      <rPr>
        <sz val="10"/>
        <color indexed="63"/>
        <rFont val="Arial"/>
        <family val="0"/>
      </rPr>
      <t>22SW</t>
    </r>
    <r>
      <rPr>
        <sz val="10"/>
        <rFont val="Arial"/>
        <family val="0"/>
      </rPr>
      <t xml:space="preserve"> </t>
    </r>
  </si>
  <si>
    <r>
      <t xml:space="preserve"> </t>
    </r>
    <r>
      <rPr>
        <sz val="10"/>
        <color indexed="63"/>
        <rFont val="Arial"/>
        <family val="0"/>
      </rPr>
      <t>Single</t>
    </r>
    <r>
      <rPr>
        <sz val="10"/>
        <rFont val="Arial"/>
        <family val="0"/>
      </rPr>
      <t xml:space="preserve"> </t>
    </r>
  </si>
  <si>
    <r>
      <t xml:space="preserve"> </t>
    </r>
    <r>
      <rPr>
        <sz val="10"/>
        <color indexed="63"/>
        <rFont val="Arial"/>
        <family val="0"/>
      </rPr>
      <t>8</t>
    </r>
    <r>
      <rPr>
        <sz val="10"/>
        <rFont val="Arial"/>
        <family val="0"/>
      </rPr>
      <t xml:space="preserve"> </t>
    </r>
  </si>
  <si>
    <r>
      <t xml:space="preserve"> </t>
    </r>
    <r>
      <rPr>
        <sz val="10"/>
        <color indexed="63"/>
        <rFont val="Arial"/>
        <family val="0"/>
      </rPr>
      <t>60/120/180</t>
    </r>
    <r>
      <rPr>
        <sz val="10"/>
        <rFont val="Arial"/>
        <family val="0"/>
      </rPr>
      <t xml:space="preserve"> </t>
    </r>
  </si>
  <si>
    <r>
      <t xml:space="preserve"> </t>
    </r>
    <r>
      <rPr>
        <sz val="10"/>
        <color indexed="63"/>
        <rFont val="Arial"/>
        <family val="0"/>
      </rPr>
      <t>2d10</t>
    </r>
    <r>
      <rPr>
        <sz val="10"/>
        <rFont val="Arial"/>
        <family val="0"/>
      </rPr>
      <t xml:space="preserve"> </t>
    </r>
  </si>
  <si>
    <r>
      <t xml:space="preserve"> </t>
    </r>
    <r>
      <rPr>
        <sz val="10"/>
        <color indexed="63"/>
        <rFont val="Arial"/>
        <family val="0"/>
      </rPr>
      <t>44 Mag</t>
    </r>
    <r>
      <rPr>
        <sz val="10"/>
        <rFont val="Arial"/>
        <family val="0"/>
      </rPr>
      <t xml:space="preserve"> </t>
    </r>
  </si>
  <si>
    <r>
      <t xml:space="preserve"> </t>
    </r>
    <r>
      <rPr>
        <sz val="10"/>
        <color indexed="63"/>
        <rFont val="Arial"/>
        <family val="0"/>
      </rPr>
      <t>6</t>
    </r>
    <r>
      <rPr>
        <sz val="10"/>
        <rFont val="Arial"/>
        <family val="0"/>
      </rPr>
      <t xml:space="preserve"> </t>
    </r>
  </si>
  <si>
    <r>
      <t xml:space="preserve"> </t>
    </r>
    <r>
      <rPr>
        <sz val="10"/>
        <color indexed="63"/>
        <rFont val="Arial"/>
        <family val="0"/>
      </rPr>
      <t>3d10</t>
    </r>
    <r>
      <rPr>
        <sz val="10"/>
        <rFont val="Arial"/>
        <family val="0"/>
      </rPr>
      <t xml:space="preserve"> </t>
    </r>
  </si>
  <si>
    <r>
      <t xml:space="preserve"> </t>
    </r>
    <r>
      <rPr>
        <sz val="10"/>
        <color indexed="63"/>
        <rFont val="Arial"/>
        <family val="0"/>
      </rPr>
      <t>M9/Glock</t>
    </r>
    <r>
      <rPr>
        <sz val="10"/>
        <rFont val="Arial"/>
        <family val="0"/>
      </rPr>
      <t xml:space="preserve"> </t>
    </r>
  </si>
  <si>
    <r>
      <t xml:space="preserve"> </t>
    </r>
    <r>
      <rPr>
        <sz val="10"/>
        <color indexed="63"/>
        <rFont val="Arial"/>
        <family val="0"/>
      </rPr>
      <t>Single Burst</t>
    </r>
    <r>
      <rPr>
        <sz val="10"/>
        <rFont val="Arial"/>
        <family val="0"/>
      </rPr>
      <t xml:space="preserve"> </t>
    </r>
  </si>
  <si>
    <r>
      <t xml:space="preserve"> </t>
    </r>
    <r>
      <rPr>
        <sz val="10"/>
        <color indexed="63"/>
        <rFont val="Arial"/>
        <family val="0"/>
      </rPr>
      <t>15</t>
    </r>
    <r>
      <rPr>
        <sz val="10"/>
        <rFont val="Arial"/>
        <family val="0"/>
      </rPr>
      <t xml:space="preserve"> </t>
    </r>
  </si>
  <si>
    <r>
      <t xml:space="preserve"> </t>
    </r>
    <r>
      <rPr>
        <sz val="10"/>
        <color indexed="63"/>
        <rFont val="Arial"/>
        <family val="0"/>
      </rPr>
      <t>Mp5</t>
    </r>
    <r>
      <rPr>
        <sz val="10"/>
        <rFont val="Arial"/>
        <family val="0"/>
      </rPr>
      <t xml:space="preserve"> </t>
    </r>
  </si>
  <si>
    <r>
      <t xml:space="preserve"> </t>
    </r>
    <r>
      <rPr>
        <sz val="10"/>
        <color indexed="63"/>
        <rFont val="Arial"/>
        <family val="0"/>
      </rPr>
      <t>Single Burst Auto</t>
    </r>
    <r>
      <rPr>
        <sz val="10"/>
        <rFont val="Arial"/>
        <family val="0"/>
      </rPr>
      <t xml:space="preserve"> </t>
    </r>
  </si>
  <si>
    <r>
      <t xml:space="preserve"> </t>
    </r>
    <r>
      <rPr>
        <sz val="10"/>
        <color indexed="63"/>
        <rFont val="Arial"/>
        <family val="0"/>
      </rPr>
      <t>30 (110)</t>
    </r>
    <r>
      <rPr>
        <sz val="10"/>
        <rFont val="Arial"/>
        <family val="0"/>
      </rPr>
      <t xml:space="preserve"> </t>
    </r>
  </si>
  <si>
    <r>
      <t xml:space="preserve"> </t>
    </r>
    <r>
      <rPr>
        <sz val="10"/>
        <color indexed="63"/>
        <rFont val="Arial"/>
        <family val="0"/>
      </rPr>
      <t>150/450/600</t>
    </r>
    <r>
      <rPr>
        <sz val="10"/>
        <rFont val="Arial"/>
        <family val="0"/>
      </rPr>
      <t xml:space="preserve"> </t>
    </r>
  </si>
  <si>
    <r>
      <t xml:space="preserve"> </t>
    </r>
    <r>
      <rPr>
        <sz val="10"/>
        <color indexed="63"/>
        <rFont val="Arial"/>
        <family val="0"/>
      </rPr>
      <t>Rem700</t>
    </r>
    <r>
      <rPr>
        <sz val="10"/>
        <rFont val="Arial"/>
        <family val="0"/>
      </rPr>
      <t xml:space="preserve"> </t>
    </r>
  </si>
  <si>
    <r>
      <t xml:space="preserve"> </t>
    </r>
    <r>
      <rPr>
        <sz val="10"/>
        <color indexed="63"/>
        <rFont val="Arial"/>
        <family val="0"/>
      </rPr>
      <t>4</t>
    </r>
    <r>
      <rPr>
        <sz val="10"/>
        <rFont val="Arial"/>
        <family val="0"/>
      </rPr>
      <t xml:space="preserve"> </t>
    </r>
  </si>
  <si>
    <r>
      <t xml:space="preserve"> </t>
    </r>
    <r>
      <rPr>
        <sz val="10"/>
        <color indexed="63"/>
        <rFont val="Arial"/>
        <family val="0"/>
      </rPr>
      <t>400/800/1200</t>
    </r>
    <r>
      <rPr>
        <sz val="10"/>
        <rFont val="Arial"/>
        <family val="0"/>
      </rPr>
      <t xml:space="preserve"> </t>
    </r>
  </si>
  <si>
    <r>
      <t xml:space="preserve"> </t>
    </r>
    <r>
      <rPr>
        <sz val="10"/>
        <color indexed="63"/>
        <rFont val="Arial"/>
        <family val="0"/>
      </rPr>
      <t>M16/AK 47</t>
    </r>
    <r>
      <rPr>
        <sz val="10"/>
        <rFont val="Arial"/>
        <family val="0"/>
      </rPr>
      <t xml:space="preserve"> </t>
    </r>
  </si>
  <si>
    <r>
      <t xml:space="preserve"> </t>
    </r>
    <r>
      <rPr>
        <sz val="10"/>
        <color indexed="63"/>
        <rFont val="Arial"/>
        <family val="0"/>
      </rPr>
      <t>30(40)</t>
    </r>
    <r>
      <rPr>
        <sz val="10"/>
        <rFont val="Arial"/>
        <family val="0"/>
      </rPr>
      <t xml:space="preserve"> </t>
    </r>
  </si>
  <si>
    <r>
      <t xml:space="preserve"> </t>
    </r>
    <r>
      <rPr>
        <sz val="10"/>
        <color indexed="63"/>
        <rFont val="Arial"/>
        <family val="0"/>
      </rPr>
      <t>300/600/1200</t>
    </r>
    <r>
      <rPr>
        <sz val="10"/>
        <rFont val="Arial"/>
        <family val="0"/>
      </rPr>
      <t xml:space="preserve"> </t>
    </r>
  </si>
  <si>
    <r>
      <t xml:space="preserve"> </t>
    </r>
    <r>
      <rPr>
        <sz val="10"/>
        <color indexed="63"/>
        <rFont val="Arial"/>
        <family val="0"/>
      </rPr>
      <t>AA-12</t>
    </r>
    <r>
      <rPr>
        <sz val="10"/>
        <rFont val="Arial"/>
        <family val="0"/>
      </rPr>
      <t xml:space="preserve"> </t>
    </r>
  </si>
  <si>
    <r>
      <t xml:space="preserve"> </t>
    </r>
    <r>
      <rPr>
        <sz val="10"/>
        <color indexed="63"/>
        <rFont val="Arial"/>
        <family val="0"/>
      </rPr>
      <t>Burst Auto</t>
    </r>
    <r>
      <rPr>
        <sz val="10"/>
        <rFont val="Arial"/>
        <family val="0"/>
      </rPr>
      <t xml:space="preserve"> </t>
    </r>
  </si>
  <si>
    <r>
      <t xml:space="preserve"> </t>
    </r>
    <r>
      <rPr>
        <sz val="10"/>
        <color indexed="63"/>
        <rFont val="Arial"/>
        <family val="0"/>
      </rPr>
      <t>9(20)</t>
    </r>
    <r>
      <rPr>
        <sz val="10"/>
        <rFont val="Arial"/>
        <family val="0"/>
      </rPr>
      <t xml:space="preserve"> </t>
    </r>
  </si>
  <si>
    <r>
      <t xml:space="preserve"> </t>
    </r>
    <r>
      <rPr>
        <sz val="10"/>
        <color indexed="63"/>
        <rFont val="Arial"/>
        <family val="0"/>
      </rPr>
      <t xml:space="preserve">SPAS-12 </t>
    </r>
    <r>
      <rPr>
        <sz val="10"/>
        <rFont val="Arial"/>
        <family val="0"/>
      </rPr>
      <t xml:space="preserve"> </t>
    </r>
  </si>
  <si>
    <r>
      <t xml:space="preserve"> </t>
    </r>
    <r>
      <rPr>
        <sz val="10"/>
        <color indexed="63"/>
        <rFont val="Arial"/>
        <family val="0"/>
      </rPr>
      <t>SingleBurst</t>
    </r>
    <r>
      <rPr>
        <sz val="10"/>
        <rFont val="Arial"/>
        <family val="0"/>
      </rPr>
      <t xml:space="preserve"> </t>
    </r>
  </si>
  <si>
    <r>
      <t xml:space="preserve"> </t>
    </r>
    <r>
      <rPr>
        <sz val="10"/>
        <color indexed="63"/>
        <rFont val="Arial"/>
        <family val="0"/>
      </rPr>
      <t>9</t>
    </r>
    <r>
      <rPr>
        <sz val="10"/>
        <rFont val="Arial"/>
        <family val="0"/>
      </rPr>
      <t xml:space="preserve"> </t>
    </r>
  </si>
  <si>
    <r>
      <t xml:space="preserve"> </t>
    </r>
    <r>
      <rPr>
        <sz val="10"/>
        <color indexed="63"/>
        <rFont val="Arial"/>
        <family val="0"/>
      </rPr>
      <t>Rem 870/Moss 590</t>
    </r>
    <r>
      <rPr>
        <sz val="10"/>
        <rFont val="Arial"/>
        <family val="0"/>
      </rPr>
      <t xml:space="preserve"> </t>
    </r>
  </si>
  <si>
    <r>
      <t xml:space="preserve"> </t>
    </r>
    <r>
      <rPr>
        <sz val="10"/>
        <color indexed="63"/>
        <rFont val="Arial"/>
        <family val="0"/>
      </rPr>
      <t>4(9)</t>
    </r>
    <r>
      <rPr>
        <sz val="10"/>
        <rFont val="Arial"/>
        <family val="0"/>
      </rPr>
      <t xml:space="preserve"> </t>
    </r>
  </si>
  <si>
    <r>
      <t xml:space="preserve"> </t>
    </r>
    <r>
      <rPr>
        <sz val="10"/>
        <color indexed="63"/>
        <rFont val="Arial"/>
        <family val="0"/>
      </rPr>
      <t>XM110</t>
    </r>
    <r>
      <rPr>
        <sz val="10"/>
        <rFont val="Arial"/>
        <family val="0"/>
      </rPr>
      <t xml:space="preserve"> </t>
    </r>
  </si>
  <si>
    <r>
      <t xml:space="preserve"> </t>
    </r>
    <r>
      <rPr>
        <sz val="10"/>
        <color indexed="63"/>
        <rFont val="Arial"/>
        <family val="0"/>
      </rPr>
      <t>Sniper</t>
    </r>
    <r>
      <rPr>
        <sz val="10"/>
        <rFont val="Arial"/>
        <family val="0"/>
      </rPr>
      <t xml:space="preserve"> </t>
    </r>
  </si>
  <si>
    <r>
      <t xml:space="preserve"> </t>
    </r>
    <r>
      <rPr>
        <sz val="10"/>
        <color indexed="63"/>
        <rFont val="Arial"/>
        <family val="0"/>
      </rPr>
      <t>10(20)</t>
    </r>
    <r>
      <rPr>
        <sz val="10"/>
        <rFont val="Arial"/>
        <family val="0"/>
      </rPr>
      <t xml:space="preserve"> </t>
    </r>
  </si>
  <si>
    <r>
      <t xml:space="preserve"> </t>
    </r>
    <r>
      <rPr>
        <sz val="10"/>
        <color indexed="63"/>
        <rFont val="Arial"/>
        <family val="0"/>
      </rPr>
      <t>1000/2000/3000</t>
    </r>
    <r>
      <rPr>
        <sz val="10"/>
        <rFont val="Arial"/>
        <family val="0"/>
      </rPr>
      <t xml:space="preserve"> </t>
    </r>
  </si>
  <si>
    <r>
      <t xml:space="preserve"> </t>
    </r>
    <r>
      <rPr>
        <sz val="10"/>
        <color indexed="63"/>
        <rFont val="Arial"/>
        <family val="0"/>
      </rPr>
      <t>Rem700S</t>
    </r>
    <r>
      <rPr>
        <sz val="10"/>
        <rFont val="Arial"/>
        <family val="0"/>
      </rPr>
      <t xml:space="preserve"> </t>
    </r>
  </si>
  <si>
    <r>
      <t xml:space="preserve"> </t>
    </r>
    <r>
      <rPr>
        <sz val="10"/>
        <color indexed="63"/>
        <rFont val="Arial"/>
        <family val="0"/>
      </rPr>
      <t>5</t>
    </r>
    <r>
      <rPr>
        <sz val="10"/>
        <rFont val="Arial"/>
        <family val="0"/>
      </rPr>
      <t xml:space="preserve"> </t>
    </r>
  </si>
  <si>
    <r>
      <t xml:space="preserve"> </t>
    </r>
    <r>
      <rPr>
        <sz val="10"/>
        <color indexed="63"/>
        <rFont val="Arial"/>
        <family val="0"/>
      </rPr>
      <t>800/1600/2400</t>
    </r>
    <r>
      <rPr>
        <sz val="10"/>
        <rFont val="Arial"/>
        <family val="0"/>
      </rPr>
      <t xml:space="preserve"> </t>
    </r>
  </si>
  <si>
    <r>
      <t xml:space="preserve"> </t>
    </r>
    <r>
      <rPr>
        <sz val="10"/>
        <color indexed="63"/>
        <rFont val="Arial"/>
        <family val="0"/>
      </rPr>
      <t>SVD</t>
    </r>
    <r>
      <rPr>
        <sz val="10"/>
        <rFont val="Arial"/>
        <family val="0"/>
      </rPr>
      <t xml:space="preserve"> </t>
    </r>
  </si>
  <si>
    <r>
      <t xml:space="preserve"> </t>
    </r>
    <r>
      <rPr>
        <sz val="10"/>
        <color indexed="63"/>
        <rFont val="Arial"/>
        <family val="0"/>
      </rPr>
      <t>10</t>
    </r>
    <r>
      <rPr>
        <sz val="10"/>
        <rFont val="Arial"/>
        <family val="0"/>
      </rPr>
      <t xml:space="preserve"> </t>
    </r>
  </si>
  <si>
    <r>
      <t xml:space="preserve"> </t>
    </r>
    <r>
      <rPr>
        <sz val="10"/>
        <color indexed="63"/>
        <rFont val="Arial"/>
        <family val="0"/>
      </rPr>
      <t>900/1800/2700</t>
    </r>
    <r>
      <rPr>
        <sz val="10"/>
        <rFont val="Arial"/>
        <family val="0"/>
      </rPr>
      <t xml:space="preserve"> </t>
    </r>
  </si>
  <si>
    <r>
      <t xml:space="preserve"> </t>
    </r>
    <r>
      <rPr>
        <sz val="10"/>
        <color indexed="63"/>
        <rFont val="Arial"/>
        <family val="0"/>
      </rPr>
      <t>LW50MG</t>
    </r>
    <r>
      <rPr>
        <sz val="10"/>
        <rFont val="Arial"/>
        <family val="0"/>
      </rPr>
      <t xml:space="preserve"> </t>
    </r>
  </si>
  <si>
    <r>
      <t xml:space="preserve"> </t>
    </r>
    <r>
      <rPr>
        <sz val="10"/>
        <color indexed="63"/>
        <rFont val="Arial"/>
        <family val="0"/>
      </rPr>
      <t>Auto</t>
    </r>
    <r>
      <rPr>
        <sz val="10"/>
        <rFont val="Arial"/>
        <family val="0"/>
      </rPr>
      <t xml:space="preserve"> </t>
    </r>
  </si>
  <si>
    <r>
      <t xml:space="preserve"> </t>
    </r>
    <r>
      <rPr>
        <sz val="10"/>
        <color indexed="63"/>
        <rFont val="Arial"/>
        <family val="0"/>
      </rPr>
      <t>100</t>
    </r>
    <r>
      <rPr>
        <sz val="10"/>
        <rFont val="Arial"/>
        <family val="0"/>
      </rPr>
      <t xml:space="preserve"> </t>
    </r>
  </si>
  <si>
    <r>
      <t xml:space="preserve"> </t>
    </r>
    <r>
      <rPr>
        <sz val="10"/>
        <color indexed="63"/>
        <rFont val="Arial"/>
        <family val="0"/>
      </rPr>
      <t>1500/300/6000</t>
    </r>
    <r>
      <rPr>
        <sz val="10"/>
        <rFont val="Arial"/>
        <family val="0"/>
      </rPr>
      <t xml:space="preserve"> </t>
    </r>
  </si>
  <si>
    <r>
      <t xml:space="preserve"> </t>
    </r>
    <r>
      <rPr>
        <sz val="10"/>
        <color indexed="63"/>
        <rFont val="Arial"/>
        <family val="0"/>
      </rPr>
      <t>4d10</t>
    </r>
    <r>
      <rPr>
        <sz val="10"/>
        <rFont val="Arial"/>
        <family val="0"/>
      </rPr>
      <t xml:space="preserve"> </t>
    </r>
  </si>
  <si>
    <r>
      <t xml:space="preserve"> </t>
    </r>
    <r>
      <rPr>
        <sz val="10"/>
        <color indexed="63"/>
        <rFont val="Arial"/>
        <family val="0"/>
      </rPr>
      <t>M249</t>
    </r>
    <r>
      <rPr>
        <sz val="10"/>
        <rFont val="Arial"/>
        <family val="0"/>
      </rPr>
      <t xml:space="preserve"> </t>
    </r>
  </si>
  <si>
    <r>
      <t xml:space="preserve"> </t>
    </r>
    <r>
      <rPr>
        <sz val="10"/>
        <color indexed="63"/>
        <rFont val="Arial"/>
        <family val="0"/>
      </rPr>
      <t>200</t>
    </r>
    <r>
      <rPr>
        <sz val="10"/>
        <rFont val="Arial"/>
        <family val="0"/>
      </rPr>
      <t xml:space="preserve"> </t>
    </r>
  </si>
  <si>
    <r>
      <t xml:space="preserve"> </t>
    </r>
    <r>
      <rPr>
        <sz val="10"/>
        <color indexed="63"/>
        <rFont val="Arial"/>
        <family val="0"/>
      </rPr>
      <t>250/500/750</t>
    </r>
    <r>
      <rPr>
        <sz val="10"/>
        <rFont val="Arial"/>
        <family val="0"/>
      </rPr>
      <t xml:space="preserve"> </t>
    </r>
  </si>
  <si>
    <r>
      <t xml:space="preserve"> </t>
    </r>
    <r>
      <rPr>
        <sz val="10"/>
        <color indexed="63"/>
        <rFont val="Arial"/>
        <family val="0"/>
      </rPr>
      <t xml:space="preserve">Rocket Launcher </t>
    </r>
    <r>
      <rPr>
        <sz val="10"/>
        <rFont val="Arial"/>
        <family val="0"/>
      </rPr>
      <t xml:space="preserve"> </t>
    </r>
  </si>
  <si>
    <r>
      <t xml:space="preserve"> </t>
    </r>
    <r>
      <rPr>
        <sz val="10"/>
        <color indexed="63"/>
        <rFont val="Arial"/>
        <family val="0"/>
      </rPr>
      <t>1</t>
    </r>
    <r>
      <rPr>
        <sz val="10"/>
        <rFont val="Arial"/>
        <family val="0"/>
      </rPr>
      <t xml:space="preserve"> </t>
    </r>
  </si>
  <si>
    <r>
      <t xml:space="preserve"> </t>
    </r>
    <r>
      <rPr>
        <sz val="10"/>
        <color indexed="63"/>
        <rFont val="Arial"/>
        <family val="0"/>
      </rPr>
      <t>SeeRocket (Ex)</t>
    </r>
    <r>
      <rPr>
        <sz val="10"/>
        <rFont val="Arial"/>
        <family val="0"/>
      </rPr>
      <t xml:space="preserve"> </t>
    </r>
  </si>
  <si>
    <r>
      <t xml:space="preserve"> </t>
    </r>
    <r>
      <rPr>
        <sz val="10"/>
        <color indexed="63"/>
        <rFont val="Arial"/>
        <family val="0"/>
      </rPr>
      <t>Taser*</t>
    </r>
    <r>
      <rPr>
        <sz val="10"/>
        <rFont val="Arial"/>
        <family val="0"/>
      </rPr>
      <t xml:space="preserve"> </t>
    </r>
  </si>
  <si>
    <r>
      <t xml:space="preserve"> </t>
    </r>
    <r>
      <rPr>
        <sz val="10"/>
        <color indexed="63"/>
        <rFont val="Arial"/>
        <family val="0"/>
      </rPr>
      <t>2</t>
    </r>
    <r>
      <rPr>
        <sz val="10"/>
        <rFont val="Arial"/>
        <family val="0"/>
      </rPr>
      <t xml:space="preserve"> </t>
    </r>
  </si>
  <si>
    <r>
      <t xml:space="preserve"> </t>
    </r>
    <r>
      <rPr>
        <sz val="10"/>
        <color indexed="63"/>
        <rFont val="Arial"/>
        <family val="0"/>
      </rPr>
      <t>20</t>
    </r>
    <r>
      <rPr>
        <sz val="10"/>
        <rFont val="Arial"/>
        <family val="0"/>
      </rPr>
      <t xml:space="preserve"> </t>
    </r>
  </si>
  <si>
    <r>
      <t xml:space="preserve"> </t>
    </r>
    <r>
      <rPr>
        <sz val="10"/>
        <color indexed="63"/>
        <rFont val="Arial"/>
        <family val="0"/>
      </rPr>
      <t>1d10</t>
    </r>
    <r>
      <rPr>
        <sz val="10"/>
        <rFont val="Arial"/>
        <family val="0"/>
      </rPr>
      <t xml:space="preserve"> </t>
    </r>
  </si>
  <si>
    <r>
      <t xml:space="preserve"> </t>
    </r>
    <r>
      <rPr>
        <sz val="10"/>
        <color indexed="63"/>
        <rFont val="Arial"/>
        <family val="0"/>
      </rPr>
      <t>M2A17</t>
    </r>
    <r>
      <rPr>
        <sz val="10"/>
        <rFont val="Arial"/>
        <family val="0"/>
      </rPr>
      <t xml:space="preserve"> </t>
    </r>
  </si>
  <si>
    <r>
      <t xml:space="preserve"> </t>
    </r>
    <r>
      <rPr>
        <sz val="10"/>
        <color indexed="63"/>
        <rFont val="Arial"/>
        <family val="0"/>
      </rPr>
      <t>40</t>
    </r>
    <r>
      <rPr>
        <sz val="10"/>
        <rFont val="Arial"/>
        <family val="0"/>
      </rPr>
      <t xml:space="preserve"> </t>
    </r>
  </si>
  <si>
    <t xml:space="preserve"> Sm. Arms </t>
  </si>
  <si>
    <t xml:space="preserve"> Med. Arms </t>
  </si>
  <si>
    <t xml:space="preserve"> Med. Arms  </t>
  </si>
  <si>
    <t xml:space="preserve"> Hvy Arms </t>
  </si>
  <si>
    <t xml:space="preserve"> Firearm </t>
  </si>
  <si>
    <t xml:space="preserve"> Type </t>
  </si>
  <si>
    <t xml:space="preserve"> ROF </t>
  </si>
  <si>
    <t xml:space="preserve"> Magazine </t>
  </si>
  <si>
    <t xml:space="preserve"> Range in Feet </t>
  </si>
  <si>
    <t xml:space="preserve"> Damage </t>
  </si>
  <si>
    <t>Knife</t>
  </si>
  <si>
    <t>Crowbar</t>
  </si>
  <si>
    <t>HTH</t>
  </si>
  <si>
    <t>Aspriing to be a made men, or simply a useful contact where needed.</t>
  </si>
  <si>
    <t>Bottom rung, but a made man. Rarely deal w/ anyone above a Capo</t>
  </si>
  <si>
    <t>In charge of a racket, X # of soliders. Takes his cut, and passes money up the ladder</t>
  </si>
  <si>
    <t>Advisor to the boss, and also in charge of the books</t>
  </si>
  <si>
    <t>2. Fill in any Peach boxes</t>
  </si>
  <si>
    <t>1, Fill in all   Yellow boxes</t>
  </si>
  <si>
    <t>Contact</t>
  </si>
  <si>
    <t>Social</t>
  </si>
  <si>
    <t>Political</t>
  </si>
  <si>
    <t>Criminal</t>
  </si>
  <si>
    <t>Addict</t>
  </si>
  <si>
    <t>Addicts have a habit of jeopardizing operations and spending money on their addictions. Each day, the player must pass a Resolve Test. If they fail, the addict succumbs to his addiction (see Drugs in the Equipment Section for further details on the effects of drugs).</t>
  </si>
  <si>
    <t>Black Belt</t>
  </si>
  <si>
    <t>So you got a black belt in Karate? How about a couple of black eyes to match? Gangsters learned to fight on the street, and they love sticking it to guys who strut around telling everyone about their black belts. You take a -1d to all Hand-to-Hand skill rolls.</t>
  </si>
  <si>
    <t>Cowardly</t>
  </si>
  <si>
    <t>Cowardly characters are terrified of getting whacked or going to jail. They stay out of combat whenever possible, and frequently rat others out. When cowardly characters encounter danger, they must pass a Resolve Test. If they fail, then the player must take whatever path he or she can to escape the danger.</t>
  </si>
  <si>
    <t>Dim</t>
  </si>
  <si>
    <t>You ain’t too bright. In fact you’re one pill short of a bottle. You have a base 4 Wits instead of a base 6.</t>
  </si>
  <si>
    <t>Egotistical</t>
  </si>
  <si>
    <t>Enemy</t>
  </si>
  <si>
    <t>Someone really hates you. In fact, this individual will kill you to settle the score. Maybe you made off with someone’s wife, or killed a person’s relative. Whatever it is, you better watch your back. This Shortcoming cannot be taken at character creation without GM approval. But, it can be bestowed upon you during the course of the campaign by the GM when you acquire a serious enemy. As a general rule, your enemy makes one attempt on your life a month, and makes one very elaborate attempt at some point during the campaign.</t>
  </si>
  <si>
    <t>Egotistical characters have a confidence that exceeds their ability. They think that they are more capable than they actually are, and frequently over estimate their ability to produce results. On unskilled rolls, they roll 3d10 take the lowest instead of 2d10.</t>
  </si>
  <si>
    <t>Greedy</t>
  </si>
  <si>
    <t>Greedy characters are always trying to make an extra buck, and are willing to lie and cheat their team members to do so. When they have an opportunity to steal from their own, Greedy characters must make a Resolve Test. On a failure the character gives into his or her greed and takes the loot.</t>
  </si>
  <si>
    <t>Womanizer</t>
  </si>
  <si>
    <t>Womanizers have difficulty being faithful to one girl, and often have an eye for their friends and Associates wives. This can be a particularly dangerous flaw in Crime Network. When a womanizer encounters an attractive woman, the character must pass a Resolve Test. If the player fails, the womanizer becomes highly flirtatious. This can lead to problems within the family. Sweet talking the wrong lady can land you a one way trip to the bottom of the sea.</t>
  </si>
  <si>
    <t>Henpecked</t>
  </si>
  <si>
    <t>What can you say? You married the wrong broad. Day in and day out, you are nagged about finances, errands, and minor domestic issues. But it gets worse— she gets you into trouble sometimes. She mouths off to members of your crew, and even demands that they give you a bigger cut of the goods. Just pray she doesn’t get you whacked one day.</t>
  </si>
  <si>
    <t>Hot Tempered</t>
  </si>
  <si>
    <t>Hot tempered characters are prone to loud emotional outbursts and occasional fits of violence. When hot tempered characters don’t get their way, they must pass a Resolve Test. If they fail, the character must attack the source of his frustration.</t>
  </si>
  <si>
    <t>Impatient</t>
  </si>
  <si>
    <t>Impatient characters can’t handle frustration. They hate lulls in activity and require constant stimulation to be happy. They can be especially problematic during more strategic and slow paced operations.</t>
  </si>
  <si>
    <t>Illiterate</t>
  </si>
  <si>
    <t>Illiterate characters have very poor reading and writing skills.</t>
  </si>
  <si>
    <t>Lazy</t>
  </si>
  <si>
    <t>Lazy characters are difficult to motivate. They prefer moving at a slow pace, and expending the least amount of energy possible. They suffer a -1d to all speed rolls.</t>
  </si>
  <si>
    <t>Mama’s Boy</t>
  </si>
  <si>
    <t>A mama’s boy loves his mama. He must visit her at least once a day, eat with her twice a week and take her shopping. If anyone talks bad about his mama, a mama’s boy will get violent.</t>
  </si>
  <si>
    <t>Mental Disorder</t>
  </si>
  <si>
    <t>Mental disorders come in a variety of flavors, and GMs should allow players to be as creative as possible when taking this flaw. Mental disorders impose a -1d penalty to Empathy, Reasoning, or Detect (select the one most appropriate to the disorder).</t>
  </si>
  <si>
    <t>Obese</t>
  </si>
  <si>
    <t>Being obese creates a base Evade of 2 instead of 3.</t>
  </si>
  <si>
    <t>Physical Disorder</t>
  </si>
  <si>
    <t>Physical disorders, like mental disorders, can vary greatly from one to another. The GM assigns a -1d Muscle, Endurance, or Athletics (whichever is most appropriate to the disorder).</t>
  </si>
  <si>
    <t>Rat</t>
  </si>
  <si>
    <t>You are not necessarily a rat yourself. But you come from a long line of known talkers. Your father was a rat, your mama was a rat, your whole family was rats. You get a -1d on Respectability checks.</t>
  </si>
  <si>
    <t>Shaky</t>
  </si>
  <si>
    <t>Speech Impediment</t>
  </si>
  <si>
    <t>Need to get the information out fast? Not with these guys. People with a speech impediment are nervous and have a lack of confidence-not the kind of guys you want to be making your deals with. Take a -1d on Manipulation skill rolls</t>
  </si>
  <si>
    <t>The last thing any team needs is a shaky character when police or investigators arrive on the scene. Shaky characters are very bad at hiding their intentions from people. They are susceptible to nervousness and anxiety. Take a -1d on Lying skill rolls.</t>
  </si>
  <si>
    <t>Crime: Extort</t>
  </si>
  <si>
    <t>Crime: Gamble</t>
  </si>
  <si>
    <t>Crime: Armed Theft</t>
  </si>
  <si>
    <t>Crime: Theft</t>
  </si>
  <si>
    <t>Crime: Traffic (Women)</t>
  </si>
  <si>
    <t>Crime: Hijack</t>
  </si>
  <si>
    <t>Crime: Traffic (Weapons)</t>
  </si>
  <si>
    <t>Crime (Traffic: Narcotics)</t>
  </si>
  <si>
    <t>Crime: Blackmail</t>
  </si>
  <si>
    <t>Crime: Fence</t>
  </si>
  <si>
    <t>Crime: Kidnapp</t>
  </si>
  <si>
    <t>Background/
Goal: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</si>
</sst>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
    <numFmt numFmtId="169" formatCode="[$-409]dddd\,\ mmmm\ dd\,\ yyyy"/>
    <numFmt numFmtId="170" formatCode="0,&quot;D10&quot;"/>
    <numFmt numFmtId="171" formatCode="00&quot;D10&quot;"/>
    <numFmt numFmtId="172" formatCode="0&quot;D10&quot;"/>
    <numFmt numFmtId="173" formatCode="\+0"/>
  </numFmts>
  <fonts count="52">
    <font>
      <sz val="10"/>
      <name val="Arial"/>
      <family val="0"/>
    </font>
    <font>
      <sz val="12"/>
      <name val="Times New Roman"/>
      <family val="1"/>
    </font>
    <font>
      <b/>
      <sz val="12"/>
      <name val="Times New Roman"/>
      <family val="1"/>
    </font>
    <font>
      <b/>
      <sz val="12"/>
      <name val="Futura Bk"/>
      <family val="0"/>
    </font>
    <font>
      <sz val="12"/>
      <name val="Adobe Garamond Pro"/>
      <family val="1"/>
    </font>
    <font>
      <u val="single"/>
      <sz val="12"/>
      <name val="Adobe Garamond Pro"/>
      <family val="1"/>
    </font>
    <font>
      <sz val="8"/>
      <name val="Arial"/>
      <family val="0"/>
    </font>
    <font>
      <i/>
      <sz val="12"/>
      <name val="Adobe Garamond Pro"/>
      <family val="1"/>
    </font>
    <font>
      <sz val="10"/>
      <name val="Times New Roman"/>
      <family val="1"/>
    </font>
    <font>
      <b/>
      <sz val="18"/>
      <color indexed="13"/>
      <name val="Copperplate Gothic Bold"/>
      <family val="2"/>
    </font>
    <font>
      <b/>
      <sz val="10"/>
      <color indexed="9"/>
      <name val="Palatino Linotype"/>
      <family val="1"/>
    </font>
    <font>
      <sz val="16"/>
      <color indexed="9"/>
      <name val="Stencil Std"/>
      <family val="3"/>
    </font>
    <font>
      <sz val="8"/>
      <color indexed="16"/>
      <name val="Arial"/>
      <family val="2"/>
    </font>
    <font>
      <b/>
      <sz val="10"/>
      <name val="Times New Roman"/>
      <family val="1"/>
    </font>
    <font>
      <i/>
      <sz val="10"/>
      <name val="Times New Roman"/>
      <family val="1"/>
    </font>
    <font>
      <sz val="10"/>
      <color indexed="9"/>
      <name val="Arial"/>
      <family val="0"/>
    </font>
    <font>
      <sz val="10"/>
      <name val="MS Outlook"/>
      <family val="0"/>
    </font>
    <font>
      <b/>
      <sz val="10"/>
      <color indexed="9"/>
      <name val="Times New Roman"/>
      <family val="1"/>
    </font>
    <font>
      <b/>
      <i/>
      <sz val="10"/>
      <name val="Times New Roman"/>
      <family val="1"/>
    </font>
    <font>
      <sz val="10"/>
      <color indexed="9"/>
      <name val="Times New Roman"/>
      <family val="1"/>
    </font>
    <font>
      <i/>
      <sz val="10"/>
      <color indexed="9"/>
      <name val="Times New Roman"/>
      <family val="1"/>
    </font>
    <font>
      <sz val="8"/>
      <name val="Tahoma"/>
      <family val="0"/>
    </font>
    <font>
      <sz val="12"/>
      <color indexed="9"/>
      <name val="Times New Roman"/>
      <family val="1"/>
    </font>
    <font>
      <sz val="12"/>
      <color indexed="63"/>
      <name val="Times New Roman"/>
      <family val="1"/>
    </font>
    <font>
      <b/>
      <sz val="12"/>
      <color indexed="63"/>
      <name val="Times New Roman"/>
      <family val="1"/>
    </font>
    <font>
      <i/>
      <sz val="12"/>
      <color indexed="55"/>
      <name val="Times New Roman"/>
      <family val="1"/>
    </font>
    <font>
      <b/>
      <sz val="8"/>
      <name val="Tahoma"/>
      <family val="0"/>
    </font>
    <font>
      <sz val="14"/>
      <color indexed="9"/>
      <name val="Stencil Std"/>
      <family val="3"/>
    </font>
    <font>
      <i/>
      <sz val="12"/>
      <name val="Times New Roman"/>
      <family val="1"/>
    </font>
    <font>
      <sz val="6"/>
      <name val="Times New Roman"/>
      <family val="1"/>
    </font>
    <font>
      <b/>
      <sz val="12"/>
      <color indexed="55"/>
      <name val="Times New Roman"/>
      <family val="1"/>
    </font>
    <font>
      <b/>
      <sz val="9"/>
      <name val="Futura Bk"/>
      <family val="0"/>
    </font>
    <font>
      <sz val="10"/>
      <name val="Futura Bk"/>
      <family val="0"/>
    </font>
    <font>
      <b/>
      <sz val="12"/>
      <color indexed="9"/>
      <name val="Times New Roman"/>
      <family val="1"/>
    </font>
    <font>
      <b/>
      <i/>
      <sz val="12"/>
      <name val="Times New Roman"/>
      <family val="1"/>
    </font>
    <font>
      <b/>
      <sz val="10"/>
      <color indexed="13"/>
      <name val="Times New Roman"/>
      <family val="1"/>
    </font>
    <font>
      <sz val="10"/>
      <color indexed="10"/>
      <name val="Times New Roman"/>
      <family val="1"/>
    </font>
    <font>
      <sz val="10"/>
      <color indexed="63"/>
      <name val="Arial"/>
      <family val="2"/>
    </font>
    <font>
      <b/>
      <sz val="10"/>
      <color indexed="16"/>
      <name val="Tahoma"/>
      <family val="2"/>
    </font>
    <font>
      <sz val="8"/>
      <name val="Times New Roman"/>
      <family val="1"/>
    </font>
    <font>
      <b/>
      <sz val="10"/>
      <color indexed="16"/>
      <name val="Times New Roman"/>
      <family val="1"/>
    </font>
    <font>
      <sz val="7"/>
      <name val="Times New Roman"/>
      <family val="1"/>
    </font>
    <font>
      <sz val="10"/>
      <color indexed="16"/>
      <name val="Times New Roman"/>
      <family val="1"/>
    </font>
    <font>
      <sz val="12"/>
      <color indexed="10"/>
      <name val="Times New Roman"/>
      <family val="1"/>
    </font>
    <font>
      <b/>
      <sz val="18"/>
      <color indexed="60"/>
      <name val="Elephant"/>
      <family val="1"/>
    </font>
    <font>
      <b/>
      <sz val="10"/>
      <color indexed="60"/>
      <name val="Times New Roman"/>
      <family val="1"/>
    </font>
    <font>
      <sz val="14"/>
      <color indexed="9"/>
      <name val="Times New Roman"/>
      <family val="1"/>
    </font>
    <font>
      <b/>
      <sz val="18"/>
      <color indexed="13"/>
      <name val="Times New Roman"/>
      <family val="1"/>
    </font>
    <font>
      <sz val="16"/>
      <color indexed="9"/>
      <name val="Times New Roman"/>
      <family val="1"/>
    </font>
    <font>
      <sz val="8"/>
      <color indexed="16"/>
      <name val="Times New Roman"/>
      <family val="1"/>
    </font>
    <font>
      <sz val="10"/>
      <color indexed="63"/>
      <name val="Times New Roman"/>
      <family val="1"/>
    </font>
    <font>
      <b/>
      <sz val="8"/>
      <name val="Arial"/>
      <family val="2"/>
    </font>
  </fonts>
  <fills count="12">
    <fill>
      <patternFill/>
    </fill>
    <fill>
      <patternFill patternType="gray125"/>
    </fill>
    <fill>
      <patternFill patternType="solid">
        <fgColor indexed="23"/>
        <bgColor indexed="64"/>
      </patternFill>
    </fill>
    <fill>
      <patternFill patternType="solid">
        <fgColor indexed="19"/>
        <bgColor indexed="64"/>
      </patternFill>
    </fill>
    <fill>
      <patternFill patternType="solid">
        <fgColor indexed="47"/>
        <bgColor indexed="64"/>
      </patternFill>
    </fill>
    <fill>
      <patternFill patternType="solid">
        <fgColor indexed="43"/>
        <bgColor indexed="64"/>
      </patternFill>
    </fill>
    <fill>
      <patternFill patternType="solid">
        <fgColor indexed="63"/>
        <bgColor indexed="64"/>
      </patternFill>
    </fill>
    <fill>
      <patternFill patternType="solid">
        <fgColor indexed="50"/>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60"/>
        <bgColor indexed="64"/>
      </patternFill>
    </fill>
  </fills>
  <borders count="66">
    <border>
      <left/>
      <right/>
      <top/>
      <bottom/>
      <diagonal/>
    </border>
    <border>
      <left>
        <color indexed="63"/>
      </left>
      <right>
        <color indexed="63"/>
      </right>
      <top style="hair"/>
      <bottom style="hair"/>
    </border>
    <border>
      <left>
        <color indexed="63"/>
      </left>
      <right>
        <color indexed="63"/>
      </right>
      <top style="medium"/>
      <bottom>
        <color indexed="63"/>
      </bottom>
    </border>
    <border>
      <left>
        <color indexed="63"/>
      </left>
      <right>
        <color indexed="63"/>
      </right>
      <top>
        <color indexed="63"/>
      </top>
      <bottom style="hair"/>
    </border>
    <border>
      <left style="medium"/>
      <right>
        <color indexed="63"/>
      </right>
      <top style="hair"/>
      <bottom style="hair"/>
    </border>
    <border>
      <left style="medium"/>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style="thin"/>
      <right style="medium"/>
      <top style="medium"/>
      <bottom style="medium"/>
    </border>
    <border>
      <left style="medium"/>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medium"/>
      <right>
        <color indexed="63"/>
      </right>
      <top style="hair"/>
      <bottom style="medium"/>
    </border>
    <border>
      <left>
        <color indexed="63"/>
      </left>
      <right>
        <color indexed="63"/>
      </right>
      <top style="hair"/>
      <bottom style="medium"/>
    </border>
    <border>
      <left style="thin"/>
      <right style="thin"/>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thin"/>
      <top style="hair"/>
      <bottom style="medium"/>
    </border>
    <border>
      <left style="thin"/>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medium"/>
      <bottom style="thin"/>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style="thin"/>
      <bottom>
        <color indexed="63"/>
      </botto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2">
    <xf numFmtId="0" fontId="0" fillId="0" borderId="0" xfId="0" applyAlignment="1">
      <alignment/>
    </xf>
    <xf numFmtId="0" fontId="0" fillId="0" borderId="0" xfId="0" applyAlignment="1">
      <alignment shrinkToFit="1"/>
    </xf>
    <xf numFmtId="0" fontId="5" fillId="0" borderId="0" xfId="0" applyFont="1" applyAlignment="1">
      <alignment shrinkToFit="1"/>
    </xf>
    <xf numFmtId="0" fontId="7" fillId="0" borderId="0" xfId="0" applyFont="1" applyAlignment="1">
      <alignment shrinkToFit="1"/>
    </xf>
    <xf numFmtId="0" fontId="4" fillId="0" borderId="0" xfId="0" applyFont="1" applyAlignment="1">
      <alignment shrinkToFit="1"/>
    </xf>
    <xf numFmtId="0" fontId="0" fillId="0" borderId="0" xfId="0" applyFont="1" applyAlignment="1">
      <alignment shrinkToFit="1"/>
    </xf>
    <xf numFmtId="0" fontId="8" fillId="0" borderId="0" xfId="0" applyFont="1" applyAlignment="1">
      <alignment shrinkToFit="1"/>
    </xf>
    <xf numFmtId="0" fontId="12" fillId="2" borderId="1" xfId="0" applyFont="1" applyFill="1" applyBorder="1" applyAlignment="1" applyProtection="1">
      <alignment shrinkToFit="1"/>
      <protection locked="0"/>
    </xf>
    <xf numFmtId="0" fontId="22" fillId="2" borderId="2" xfId="0" applyFont="1" applyFill="1" applyBorder="1" applyAlignment="1" applyProtection="1">
      <alignment vertical="center" shrinkToFit="1"/>
      <protection locked="0"/>
    </xf>
    <xf numFmtId="0" fontId="1" fillId="0" borderId="0" xfId="0" applyFont="1" applyAlignment="1">
      <alignment/>
    </xf>
    <xf numFmtId="0" fontId="24" fillId="0" borderId="3" xfId="0" applyFont="1" applyFill="1" applyBorder="1" applyAlignment="1">
      <alignment horizontal="center" vertical="center" shrinkToFit="1"/>
    </xf>
    <xf numFmtId="49" fontId="0" fillId="0" borderId="0" xfId="0" applyNumberFormat="1" applyAlignment="1">
      <alignment/>
    </xf>
    <xf numFmtId="0" fontId="11" fillId="2" borderId="4" xfId="0" applyFont="1" applyFill="1" applyBorder="1" applyAlignment="1">
      <alignment shrinkToFit="1"/>
    </xf>
    <xf numFmtId="0" fontId="13" fillId="3" borderId="5" xfId="0" applyFont="1" applyFill="1" applyBorder="1" applyAlignment="1">
      <alignment/>
    </xf>
    <xf numFmtId="0" fontId="13" fillId="3" borderId="3" xfId="0" applyFont="1" applyFill="1" applyBorder="1" applyAlignment="1">
      <alignment/>
    </xf>
    <xf numFmtId="0" fontId="0" fillId="3" borderId="3" xfId="0" applyFill="1" applyBorder="1" applyAlignment="1">
      <alignment/>
    </xf>
    <xf numFmtId="0" fontId="2" fillId="0" borderId="6" xfId="0" applyFont="1" applyBorder="1" applyAlignment="1">
      <alignment/>
    </xf>
    <xf numFmtId="0" fontId="1" fillId="0" borderId="7" xfId="0" applyFont="1" applyBorder="1" applyAlignment="1">
      <alignment/>
    </xf>
    <xf numFmtId="0" fontId="16" fillId="4" borderId="8" xfId="0" applyFont="1" applyFill="1" applyBorder="1" applyAlignment="1" applyProtection="1">
      <alignment horizontal="center"/>
      <protection locked="0"/>
    </xf>
    <xf numFmtId="0" fontId="8" fillId="4" borderId="8" xfId="0" applyFont="1" applyFill="1" applyBorder="1" applyAlignment="1" applyProtection="1">
      <alignment horizontal="center" shrinkToFit="1"/>
      <protection locked="0"/>
    </xf>
    <xf numFmtId="0" fontId="8" fillId="5" borderId="8" xfId="0" applyFont="1" applyFill="1" applyBorder="1" applyAlignment="1" applyProtection="1">
      <alignment horizontal="center" shrinkToFit="1"/>
      <protection locked="0"/>
    </xf>
    <xf numFmtId="0" fontId="15" fillId="0" borderId="0" xfId="0" applyFont="1" applyAlignment="1">
      <alignment horizontal="center"/>
    </xf>
    <xf numFmtId="168" fontId="23" fillId="3" borderId="3" xfId="0" applyNumberFormat="1" applyFont="1" applyFill="1" applyBorder="1" applyAlignment="1" applyProtection="1">
      <alignment horizontal="right" vertical="center" shrinkToFit="1"/>
      <protection locked="0"/>
    </xf>
    <xf numFmtId="0" fontId="31" fillId="0" borderId="0" xfId="0" applyFont="1" applyAlignment="1">
      <alignment/>
    </xf>
    <xf numFmtId="0" fontId="32" fillId="0" borderId="0" xfId="0" applyFont="1" applyAlignment="1">
      <alignment/>
    </xf>
    <xf numFmtId="0" fontId="1" fillId="0" borderId="8" xfId="0" applyFont="1" applyBorder="1" applyAlignment="1">
      <alignment horizontal="center"/>
    </xf>
    <xf numFmtId="0" fontId="8" fillId="4" borderId="9" xfId="0" applyFont="1" applyFill="1" applyBorder="1" applyAlignment="1" applyProtection="1">
      <alignment horizontal="center" shrinkToFit="1"/>
      <protection locked="0"/>
    </xf>
    <xf numFmtId="0" fontId="37" fillId="0" borderId="0" xfId="0" applyFont="1" applyAlignment="1">
      <alignment/>
    </xf>
    <xf numFmtId="0" fontId="0" fillId="0" borderId="0" xfId="0" applyAlignment="1">
      <alignment horizontal="center"/>
    </xf>
    <xf numFmtId="172" fontId="13" fillId="0" borderId="0" xfId="0" applyNumberFormat="1" applyFont="1" applyBorder="1" applyAlignment="1">
      <alignment shrinkToFit="1"/>
    </xf>
    <xf numFmtId="0" fontId="19" fillId="0" borderId="0" xfId="0" applyFont="1" applyAlignment="1" applyProtection="1">
      <alignment/>
      <protection/>
    </xf>
    <xf numFmtId="0" fontId="18" fillId="0" borderId="8" xfId="0" applyFont="1" applyBorder="1" applyAlignment="1" applyProtection="1">
      <alignment horizontal="right" shrinkToFit="1"/>
      <protection/>
    </xf>
    <xf numFmtId="0" fontId="8" fillId="0" borderId="8" xfId="0" applyFont="1" applyBorder="1" applyAlignment="1" applyProtection="1">
      <alignment horizontal="center" shrinkToFit="1"/>
      <protection/>
    </xf>
    <xf numFmtId="0" fontId="13" fillId="0" borderId="8" xfId="0" applyFont="1" applyBorder="1" applyAlignment="1" applyProtection="1">
      <alignment horizontal="center" shrinkToFit="1"/>
      <protection/>
    </xf>
    <xf numFmtId="0" fontId="8" fillId="0" borderId="0" xfId="0" applyFont="1" applyAlignment="1" applyProtection="1">
      <alignment/>
      <protection/>
    </xf>
    <xf numFmtId="0" fontId="36" fillId="0" borderId="0" xfId="0" applyFont="1" applyAlignment="1" applyProtection="1">
      <alignment/>
      <protection/>
    </xf>
    <xf numFmtId="0" fontId="8" fillId="0" borderId="0" xfId="0" applyFont="1" applyAlignment="1" applyProtection="1">
      <alignment shrinkToFit="1"/>
      <protection/>
    </xf>
    <xf numFmtId="0" fontId="17" fillId="6" borderId="8" xfId="0" applyFont="1" applyFill="1" applyBorder="1" applyAlignment="1" applyProtection="1">
      <alignment/>
      <protection/>
    </xf>
    <xf numFmtId="0" fontId="39" fillId="5" borderId="10" xfId="0" applyFont="1" applyFill="1" applyBorder="1" applyAlignment="1" applyProtection="1">
      <alignment/>
      <protection/>
    </xf>
    <xf numFmtId="0" fontId="39" fillId="4" borderId="10" xfId="0" applyFont="1" applyFill="1" applyBorder="1" applyAlignment="1" applyProtection="1">
      <alignment/>
      <protection/>
    </xf>
    <xf numFmtId="0" fontId="19" fillId="0" borderId="0" xfId="0" applyFont="1" applyAlignment="1" applyProtection="1">
      <alignment shrinkToFit="1"/>
      <protection/>
    </xf>
    <xf numFmtId="0" fontId="14" fillId="0" borderId="0" xfId="0" applyFont="1" applyAlignment="1" applyProtection="1">
      <alignment horizontal="right" shrinkToFit="1"/>
      <protection/>
    </xf>
    <xf numFmtId="0" fontId="8" fillId="0" borderId="0" xfId="0" applyFont="1" applyAlignment="1" applyProtection="1">
      <alignment horizontal="center" shrinkToFit="1"/>
      <protection/>
    </xf>
    <xf numFmtId="0" fontId="20" fillId="0" borderId="0" xfId="0" applyFont="1" applyAlignment="1" applyProtection="1">
      <alignment horizontal="right" shrinkToFit="1"/>
      <protection/>
    </xf>
    <xf numFmtId="0" fontId="13" fillId="5" borderId="11" xfId="0" applyFont="1" applyFill="1" applyBorder="1" applyAlignment="1" applyProtection="1">
      <alignment horizontal="center"/>
      <protection locked="0"/>
    </xf>
    <xf numFmtId="0" fontId="15" fillId="0" borderId="0" xfId="0" applyFont="1" applyFill="1" applyAlignment="1">
      <alignment/>
    </xf>
    <xf numFmtId="0" fontId="17" fillId="6" borderId="8" xfId="0" applyFont="1" applyFill="1" applyBorder="1" applyAlignment="1" applyProtection="1">
      <alignment horizontal="center" shrinkToFit="1"/>
      <protection/>
    </xf>
    <xf numFmtId="0" fontId="13" fillId="0" borderId="12" xfId="0" applyFont="1" applyFill="1" applyBorder="1" applyAlignment="1" applyProtection="1">
      <alignment horizontal="center" shrinkToFit="1"/>
      <protection/>
    </xf>
    <xf numFmtId="173" fontId="13" fillId="0" borderId="8" xfId="0" applyNumberFormat="1" applyFont="1" applyFill="1" applyBorder="1" applyAlignment="1" applyProtection="1">
      <alignment horizontal="center"/>
      <protection/>
    </xf>
    <xf numFmtId="0" fontId="8" fillId="0" borderId="0" xfId="0" applyFont="1" applyAlignment="1">
      <alignment/>
    </xf>
    <xf numFmtId="0" fontId="1" fillId="0" borderId="0" xfId="0" applyFont="1" applyAlignment="1" applyProtection="1">
      <alignment/>
      <protection/>
    </xf>
    <xf numFmtId="0" fontId="22" fillId="0" borderId="0" xfId="0" applyFont="1" applyAlignment="1" applyProtection="1">
      <alignment/>
      <protection/>
    </xf>
    <xf numFmtId="0" fontId="22" fillId="0" borderId="0" xfId="0" applyFont="1" applyAlignment="1" applyProtection="1">
      <alignment shrinkToFit="1"/>
      <protection/>
    </xf>
    <xf numFmtId="0" fontId="1" fillId="0" borderId="0" xfId="0" applyFont="1" applyAlignment="1" applyProtection="1">
      <alignment shrinkToFit="1"/>
      <protection/>
    </xf>
    <xf numFmtId="0" fontId="8" fillId="4" borderId="8" xfId="0" applyFont="1" applyFill="1" applyBorder="1" applyAlignment="1" applyProtection="1">
      <alignment horizontal="center"/>
      <protection locked="0"/>
    </xf>
    <xf numFmtId="0" fontId="43" fillId="0" borderId="0" xfId="0" applyFont="1" applyAlignment="1" applyProtection="1">
      <alignment shrinkToFit="1"/>
      <protection/>
    </xf>
    <xf numFmtId="0" fontId="8" fillId="0" borderId="0" xfId="0" applyFont="1" applyFill="1" applyAlignment="1" applyProtection="1">
      <alignment/>
      <protection/>
    </xf>
    <xf numFmtId="0" fontId="8" fillId="4" borderId="9" xfId="0" applyFont="1" applyFill="1" applyBorder="1" applyAlignment="1" applyProtection="1">
      <alignment horizontal="center"/>
      <protection locked="0"/>
    </xf>
    <xf numFmtId="0" fontId="17" fillId="6" borderId="8" xfId="0" applyFont="1" applyFill="1" applyBorder="1" applyAlignment="1" applyProtection="1">
      <alignment shrinkToFit="1"/>
      <protection/>
    </xf>
    <xf numFmtId="0" fontId="19" fillId="0" borderId="8" xfId="0" applyFont="1" applyBorder="1" applyAlignment="1" applyProtection="1">
      <alignment shrinkToFit="1"/>
      <protection/>
    </xf>
    <xf numFmtId="0" fontId="2" fillId="0" borderId="0" xfId="0" applyFont="1" applyAlignment="1" applyProtection="1">
      <alignment/>
      <protection/>
    </xf>
    <xf numFmtId="0" fontId="19" fillId="7" borderId="13" xfId="0" applyFont="1" applyFill="1" applyBorder="1" applyAlignment="1" applyProtection="1">
      <alignment/>
      <protection/>
    </xf>
    <xf numFmtId="0" fontId="8" fillId="7" borderId="14" xfId="0" applyFont="1" applyFill="1" applyBorder="1" applyAlignment="1" applyProtection="1">
      <alignment/>
      <protection/>
    </xf>
    <xf numFmtId="0" fontId="42" fillId="7" borderId="2" xfId="0" applyFont="1" applyFill="1" applyBorder="1" applyAlignment="1" applyProtection="1">
      <alignment shrinkToFit="1"/>
      <protection/>
    </xf>
    <xf numFmtId="0" fontId="8" fillId="7" borderId="2" xfId="0" applyFont="1" applyFill="1" applyBorder="1" applyAlignment="1" applyProtection="1">
      <alignment shrinkToFit="1"/>
      <protection/>
    </xf>
    <xf numFmtId="0" fontId="1" fillId="7" borderId="15" xfId="0" applyFont="1" applyFill="1" applyBorder="1" applyAlignment="1" applyProtection="1">
      <alignment/>
      <protection/>
    </xf>
    <xf numFmtId="0" fontId="22" fillId="7" borderId="15" xfId="0" applyFont="1" applyFill="1" applyBorder="1" applyAlignment="1" applyProtection="1">
      <alignment shrinkToFit="1"/>
      <protection/>
    </xf>
    <xf numFmtId="0" fontId="1" fillId="7" borderId="15" xfId="0" applyFont="1" applyFill="1" applyBorder="1" applyAlignment="1" applyProtection="1">
      <alignment shrinkToFit="1"/>
      <protection/>
    </xf>
    <xf numFmtId="0" fontId="19" fillId="7" borderId="16" xfId="0" applyFont="1" applyFill="1" applyBorder="1" applyAlignment="1" applyProtection="1">
      <alignment/>
      <protection/>
    </xf>
    <xf numFmtId="0" fontId="8" fillId="7" borderId="6" xfId="0" applyFont="1" applyFill="1" applyBorder="1" applyAlignment="1" applyProtection="1">
      <alignment/>
      <protection/>
    </xf>
    <xf numFmtId="0" fontId="8" fillId="7" borderId="7" xfId="0" applyFont="1" applyFill="1" applyBorder="1" applyAlignment="1" applyProtection="1">
      <alignment/>
      <protection/>
    </xf>
    <xf numFmtId="0" fontId="8" fillId="7" borderId="17" xfId="0" applyFont="1" applyFill="1" applyBorder="1" applyAlignment="1" applyProtection="1">
      <alignment/>
      <protection/>
    </xf>
    <xf numFmtId="0" fontId="8" fillId="7" borderId="18" xfId="0" applyFont="1" applyFill="1" applyBorder="1" applyAlignment="1" applyProtection="1">
      <alignment/>
      <protection/>
    </xf>
    <xf numFmtId="0" fontId="8" fillId="7" borderId="0" xfId="0" applyFont="1" applyFill="1" applyBorder="1" applyAlignment="1" applyProtection="1">
      <alignment/>
      <protection/>
    </xf>
    <xf numFmtId="0" fontId="8" fillId="7" borderId="19" xfId="0" applyFont="1" applyFill="1" applyBorder="1" applyAlignment="1" applyProtection="1">
      <alignment/>
      <protection/>
    </xf>
    <xf numFmtId="0" fontId="39" fillId="7" borderId="20" xfId="0" applyFont="1" applyFill="1" applyBorder="1" applyAlignment="1" applyProtection="1">
      <alignment/>
      <protection/>
    </xf>
    <xf numFmtId="0" fontId="39" fillId="7" borderId="16" xfId="0" applyFont="1" applyFill="1" applyBorder="1" applyAlignment="1" applyProtection="1">
      <alignment/>
      <protection/>
    </xf>
    <xf numFmtId="0" fontId="39" fillId="7" borderId="10" xfId="0" applyFont="1" applyFill="1" applyBorder="1" applyAlignment="1" applyProtection="1">
      <alignment/>
      <protection/>
    </xf>
    <xf numFmtId="0" fontId="39" fillId="7" borderId="21" xfId="0" applyFont="1" applyFill="1" applyBorder="1" applyAlignment="1" applyProtection="1">
      <alignment/>
      <protection/>
    </xf>
    <xf numFmtId="0" fontId="0" fillId="0" borderId="0" xfId="0" applyNumberFormat="1" applyAlignment="1">
      <alignment shrinkToFit="1"/>
    </xf>
    <xf numFmtId="0" fontId="39" fillId="0" borderId="0" xfId="0" applyFont="1" applyBorder="1" applyAlignment="1">
      <alignment horizontal="left" vertical="top" wrapText="1"/>
    </xf>
    <xf numFmtId="0" fontId="23" fillId="0" borderId="5" xfId="0" applyFont="1" applyFill="1" applyBorder="1" applyAlignment="1">
      <alignment vertical="center" shrinkToFit="1"/>
    </xf>
    <xf numFmtId="0" fontId="25" fillId="0" borderId="0" xfId="0" applyFont="1" applyBorder="1" applyAlignment="1">
      <alignment horizontal="center" shrinkToFit="1"/>
    </xf>
    <xf numFmtId="168" fontId="2" fillId="0" borderId="0" xfId="0" applyNumberFormat="1" applyFont="1" applyFill="1" applyBorder="1" applyAlignment="1">
      <alignment horizontal="center" vertical="center" shrinkToFit="1"/>
    </xf>
    <xf numFmtId="0" fontId="22" fillId="2" borderId="14" xfId="0" applyFont="1" applyFill="1" applyBorder="1" applyAlignment="1">
      <alignment vertical="center" shrinkToFit="1"/>
    </xf>
    <xf numFmtId="0" fontId="30" fillId="8" borderId="2" xfId="0" applyFont="1" applyFill="1" applyBorder="1" applyAlignment="1" applyProtection="1">
      <alignment vertical="center" wrapText="1"/>
      <protection locked="0"/>
    </xf>
    <xf numFmtId="0" fontId="30" fillId="8" borderId="22" xfId="0" applyFont="1" applyFill="1" applyBorder="1" applyAlignment="1" applyProtection="1">
      <alignment vertical="center" wrapText="1"/>
      <protection locked="0"/>
    </xf>
    <xf numFmtId="0" fontId="30" fillId="8" borderId="0" xfId="0" applyFont="1" applyFill="1" applyBorder="1" applyAlignment="1" applyProtection="1">
      <alignment vertical="center" wrapText="1"/>
      <protection locked="0"/>
    </xf>
    <xf numFmtId="0" fontId="30" fillId="8" borderId="19" xfId="0" applyFont="1" applyFill="1" applyBorder="1" applyAlignment="1" applyProtection="1">
      <alignment vertical="center" wrapText="1"/>
      <protection locked="0"/>
    </xf>
    <xf numFmtId="0" fontId="24" fillId="0" borderId="23" xfId="0" applyFont="1" applyFill="1" applyBorder="1" applyAlignment="1">
      <alignment vertical="center" shrinkToFit="1"/>
    </xf>
    <xf numFmtId="0" fontId="2" fillId="0" borderId="24" xfId="0" applyFont="1" applyFill="1" applyBorder="1" applyAlignment="1">
      <alignment vertical="center" shrinkToFit="1"/>
    </xf>
    <xf numFmtId="0" fontId="2" fillId="0" borderId="25" xfId="0" applyFont="1" applyFill="1" applyBorder="1" applyAlignment="1">
      <alignment vertical="center" shrinkToFit="1"/>
    </xf>
    <xf numFmtId="168" fontId="24" fillId="0" borderId="3" xfId="0" applyNumberFormat="1" applyFont="1" applyFill="1" applyBorder="1" applyAlignment="1">
      <alignment vertical="center" shrinkToFit="1"/>
    </xf>
    <xf numFmtId="0" fontId="2" fillId="0" borderId="3" xfId="0" applyFont="1" applyBorder="1" applyAlignment="1">
      <alignment shrinkToFit="1"/>
    </xf>
    <xf numFmtId="0" fontId="2" fillId="0" borderId="3" xfId="0" applyFont="1" applyFill="1" applyBorder="1" applyAlignment="1">
      <alignment vertical="center" shrinkToFit="1"/>
    </xf>
    <xf numFmtId="0" fontId="2" fillId="0" borderId="26" xfId="0" applyFont="1" applyFill="1" applyBorder="1" applyAlignment="1">
      <alignment vertical="center" shrinkToFit="1"/>
    </xf>
    <xf numFmtId="0" fontId="25" fillId="0" borderId="27" xfId="0" applyFont="1" applyBorder="1" applyAlignment="1">
      <alignment shrinkToFit="1"/>
    </xf>
    <xf numFmtId="0" fontId="25" fillId="0" borderId="28" xfId="0" applyFont="1" applyBorder="1" applyAlignment="1">
      <alignment shrinkToFit="1"/>
    </xf>
    <xf numFmtId="168" fontId="2" fillId="0" borderId="28" xfId="0" applyNumberFormat="1" applyFont="1" applyFill="1" applyBorder="1" applyAlignment="1">
      <alignment vertical="center" shrinkToFit="1"/>
    </xf>
    <xf numFmtId="0" fontId="1" fillId="0" borderId="3" xfId="0" applyFont="1" applyBorder="1" applyAlignment="1">
      <alignment/>
    </xf>
    <xf numFmtId="0" fontId="8" fillId="0" borderId="3" xfId="0" applyFont="1" applyBorder="1" applyAlignment="1">
      <alignment horizontal="center" shrinkToFit="1"/>
    </xf>
    <xf numFmtId="172" fontId="13" fillId="0" borderId="3" xfId="0" applyNumberFormat="1" applyFont="1" applyBorder="1" applyAlignment="1">
      <alignment horizontal="center" shrinkToFit="1"/>
    </xf>
    <xf numFmtId="0" fontId="43" fillId="0" borderId="0" xfId="0" applyFont="1" applyAlignment="1" applyProtection="1">
      <alignment/>
      <protection/>
    </xf>
    <xf numFmtId="0" fontId="36" fillId="0" borderId="8" xfId="0" applyFont="1" applyBorder="1" applyAlignment="1" applyProtection="1">
      <alignment horizontal="center" shrinkToFit="1"/>
      <protection/>
    </xf>
    <xf numFmtId="0" fontId="1" fillId="0" borderId="29" xfId="0" applyFont="1" applyBorder="1" applyAlignment="1">
      <alignment horizontal="center"/>
    </xf>
    <xf numFmtId="0" fontId="1" fillId="0" borderId="11" xfId="0" applyFont="1" applyBorder="1" applyAlignment="1">
      <alignment horizontal="center"/>
    </xf>
    <xf numFmtId="170" fontId="32" fillId="0" borderId="0" xfId="0" applyNumberFormat="1" applyFont="1" applyAlignment="1">
      <alignment/>
    </xf>
    <xf numFmtId="0" fontId="8" fillId="0" borderId="2" xfId="0" applyFont="1" applyBorder="1" applyAlignment="1">
      <alignment/>
    </xf>
    <xf numFmtId="0" fontId="17" fillId="2" borderId="30" xfId="0" applyFont="1" applyFill="1" applyBorder="1" applyAlignment="1">
      <alignment vertical="center" textRotation="90" shrinkToFit="1"/>
    </xf>
    <xf numFmtId="0" fontId="8" fillId="3" borderId="3" xfId="0" applyFont="1" applyFill="1" applyBorder="1" applyAlignment="1">
      <alignment/>
    </xf>
    <xf numFmtId="0" fontId="8" fillId="0" borderId="31" xfId="0" applyFont="1" applyBorder="1" applyAlignment="1">
      <alignment/>
    </xf>
    <xf numFmtId="0" fontId="48" fillId="2" borderId="4" xfId="0" applyFont="1" applyFill="1" applyBorder="1" applyAlignment="1">
      <alignment shrinkToFit="1"/>
    </xf>
    <xf numFmtId="0" fontId="46" fillId="2" borderId="1" xfId="0" applyFont="1" applyFill="1" applyBorder="1" applyAlignment="1">
      <alignment shrinkToFit="1"/>
    </xf>
    <xf numFmtId="0" fontId="49" fillId="2" borderId="1" xfId="0" applyFont="1" applyFill="1" applyBorder="1" applyAlignment="1" applyProtection="1">
      <alignment shrinkToFit="1"/>
      <protection locked="0"/>
    </xf>
    <xf numFmtId="0" fontId="49" fillId="2" borderId="3" xfId="0" applyFont="1" applyFill="1" applyBorder="1" applyAlignment="1" applyProtection="1">
      <alignment shrinkToFit="1"/>
      <protection locked="0"/>
    </xf>
    <xf numFmtId="0" fontId="8" fillId="0" borderId="3" xfId="0" applyFont="1" applyBorder="1" applyAlignment="1">
      <alignment/>
    </xf>
    <xf numFmtId="0" fontId="8" fillId="0" borderId="26" xfId="0" applyFont="1" applyBorder="1" applyAlignment="1">
      <alignment/>
    </xf>
    <xf numFmtId="0" fontId="8" fillId="0" borderId="24" xfId="0" applyFont="1" applyBorder="1" applyAlignment="1">
      <alignment shrinkToFit="1"/>
    </xf>
    <xf numFmtId="0" fontId="8" fillId="0" borderId="28" xfId="0" applyFont="1" applyBorder="1" applyAlignment="1">
      <alignment shrinkToFit="1"/>
    </xf>
    <xf numFmtId="0" fontId="8" fillId="0" borderId="32" xfId="0" applyFont="1" applyBorder="1" applyAlignment="1">
      <alignment shrinkToFit="1"/>
    </xf>
    <xf numFmtId="0" fontId="8" fillId="0" borderId="33" xfId="0" applyFont="1" applyBorder="1" applyAlignment="1">
      <alignment/>
    </xf>
    <xf numFmtId="0" fontId="8" fillId="0" borderId="0" xfId="0" applyFont="1" applyBorder="1" applyAlignment="1">
      <alignment shrinkToFit="1"/>
    </xf>
    <xf numFmtId="0" fontId="8" fillId="0" borderId="0" xfId="0" applyFont="1" applyBorder="1" applyAlignment="1">
      <alignment/>
    </xf>
    <xf numFmtId="0" fontId="8" fillId="0" borderId="3" xfId="0" applyFont="1" applyBorder="1" applyAlignment="1">
      <alignment/>
    </xf>
    <xf numFmtId="0" fontId="19" fillId="0" borderId="0" xfId="0" applyFont="1" applyAlignment="1">
      <alignment horizontal="center"/>
    </xf>
    <xf numFmtId="0" fontId="19" fillId="0" borderId="0" xfId="0" applyFont="1" applyFill="1" applyAlignment="1">
      <alignment/>
    </xf>
    <xf numFmtId="0" fontId="50" fillId="0" borderId="0" xfId="0" applyFont="1" applyAlignment="1">
      <alignment/>
    </xf>
    <xf numFmtId="0" fontId="8" fillId="0" borderId="3" xfId="0" applyFont="1" applyBorder="1" applyAlignment="1">
      <alignment horizontal="center"/>
    </xf>
    <xf numFmtId="0" fontId="8" fillId="0" borderId="21" xfId="0" applyFont="1" applyBorder="1" applyAlignment="1">
      <alignment/>
    </xf>
    <xf numFmtId="0" fontId="8" fillId="0" borderId="20" xfId="0" applyFont="1" applyBorder="1" applyAlignment="1">
      <alignment/>
    </xf>
    <xf numFmtId="0" fontId="8" fillId="0" borderId="15" xfId="0" applyFont="1" applyBorder="1" applyAlignment="1">
      <alignment/>
    </xf>
    <xf numFmtId="0" fontId="19" fillId="0" borderId="9" xfId="0" applyFont="1" applyBorder="1" applyAlignment="1" applyProtection="1">
      <alignment horizontal="center" shrinkToFit="1"/>
      <protection/>
    </xf>
    <xf numFmtId="0" fontId="1" fillId="4" borderId="9" xfId="0" applyFont="1" applyFill="1" applyBorder="1" applyAlignment="1" applyProtection="1">
      <alignment horizontal="center" shrinkToFit="1"/>
      <protection locked="0"/>
    </xf>
    <xf numFmtId="0" fontId="0" fillId="0" borderId="0" xfId="0" applyAlignment="1" applyProtection="1">
      <alignment/>
      <protection/>
    </xf>
    <xf numFmtId="0" fontId="17" fillId="8" borderId="0" xfId="0" applyFont="1" applyFill="1" applyBorder="1" applyAlignment="1">
      <alignment shrinkToFit="1"/>
    </xf>
    <xf numFmtId="0" fontId="17" fillId="8" borderId="0" xfId="0" applyFont="1" applyFill="1" applyBorder="1" applyAlignment="1" applyProtection="1">
      <alignment horizontal="center" shrinkToFit="1"/>
      <protection/>
    </xf>
    <xf numFmtId="0" fontId="19" fillId="8" borderId="0" xfId="0" applyFont="1" applyFill="1" applyBorder="1" applyAlignment="1" applyProtection="1">
      <alignment horizontal="center" shrinkToFit="1"/>
      <protection locked="0"/>
    </xf>
    <xf numFmtId="0" fontId="19" fillId="8" borderId="0" xfId="0" applyFont="1" applyFill="1" applyBorder="1" applyAlignment="1" applyProtection="1">
      <alignment horizontal="center"/>
      <protection locked="0"/>
    </xf>
    <xf numFmtId="0" fontId="18" fillId="0" borderId="34" xfId="0" applyFont="1" applyBorder="1" applyAlignment="1" applyProtection="1">
      <alignment horizontal="right" shrinkToFit="1"/>
      <protection/>
    </xf>
    <xf numFmtId="0" fontId="8" fillId="0" borderId="34" xfId="0" applyFont="1" applyBorder="1" applyAlignment="1" applyProtection="1">
      <alignment horizontal="center" shrinkToFit="1"/>
      <protection/>
    </xf>
    <xf numFmtId="0" fontId="33" fillId="6" borderId="2" xfId="0" applyFont="1" applyFill="1" applyBorder="1" applyAlignment="1" applyProtection="1">
      <alignment horizontal="center" vertical="center" wrapText="1"/>
      <protection/>
    </xf>
    <xf numFmtId="0" fontId="39" fillId="4" borderId="16" xfId="0" applyFont="1" applyFill="1" applyBorder="1" applyAlignment="1" applyProtection="1">
      <alignment wrapText="1"/>
      <protection locked="0"/>
    </xf>
    <xf numFmtId="0" fontId="33" fillId="6" borderId="14" xfId="0" applyFont="1" applyFill="1" applyBorder="1" applyAlignment="1" applyProtection="1">
      <alignment horizontal="center" vertical="center" wrapText="1"/>
      <protection/>
    </xf>
    <xf numFmtId="0" fontId="40" fillId="5" borderId="8" xfId="0" applyFont="1" applyFill="1" applyBorder="1" applyAlignment="1" applyProtection="1">
      <alignment horizontal="center" shrinkToFit="1"/>
      <protection locked="0"/>
    </xf>
    <xf numFmtId="0" fontId="16" fillId="4" borderId="8" xfId="0" applyFont="1" applyFill="1" applyBorder="1" applyAlignment="1" applyProtection="1" quotePrefix="1">
      <alignment horizontal="center"/>
      <protection locked="0"/>
    </xf>
    <xf numFmtId="0" fontId="39" fillId="4" borderId="2" xfId="0" applyFont="1" applyFill="1" applyBorder="1" applyAlignment="1" applyProtection="1">
      <alignment wrapText="1"/>
      <protection locked="0"/>
    </xf>
    <xf numFmtId="0" fontId="39" fillId="4" borderId="13" xfId="0" applyFont="1" applyFill="1" applyBorder="1" applyAlignment="1" applyProtection="1">
      <alignment wrapText="1"/>
      <protection locked="0"/>
    </xf>
    <xf numFmtId="0" fontId="39" fillId="4" borderId="15" xfId="0" applyFont="1" applyFill="1" applyBorder="1" applyAlignment="1" applyProtection="1">
      <alignment wrapText="1"/>
      <protection locked="0"/>
    </xf>
    <xf numFmtId="0" fontId="33" fillId="6" borderId="20" xfId="0" applyFont="1" applyFill="1" applyBorder="1" applyAlignment="1" applyProtection="1">
      <alignment horizontal="center" vertical="center" wrapText="1"/>
      <protection/>
    </xf>
    <xf numFmtId="0" fontId="33" fillId="6" borderId="15" xfId="0" applyFont="1" applyFill="1" applyBorder="1" applyAlignment="1" applyProtection="1">
      <alignment horizontal="center" vertical="center" wrapText="1"/>
      <protection/>
    </xf>
    <xf numFmtId="0" fontId="17" fillId="6" borderId="8" xfId="0" applyFont="1" applyFill="1" applyBorder="1" applyAlignment="1" applyProtection="1">
      <alignment horizontal="center"/>
      <protection/>
    </xf>
    <xf numFmtId="0" fontId="8" fillId="5" borderId="8" xfId="0" applyFont="1" applyFill="1" applyBorder="1" applyAlignment="1" applyProtection="1">
      <alignment horizontal="center" shrinkToFit="1"/>
      <protection locked="0"/>
    </xf>
    <xf numFmtId="0" fontId="13" fillId="9" borderId="35" xfId="0" applyFont="1" applyFill="1" applyBorder="1" applyAlignment="1" applyProtection="1">
      <alignment horizontal="center"/>
      <protection/>
    </xf>
    <xf numFmtId="0" fontId="13" fillId="9" borderId="36" xfId="0" applyFont="1" applyFill="1" applyBorder="1" applyAlignment="1" applyProtection="1">
      <alignment horizontal="center"/>
      <protection/>
    </xf>
    <xf numFmtId="0" fontId="13" fillId="9" borderId="37" xfId="0" applyFont="1" applyFill="1" applyBorder="1" applyAlignment="1" applyProtection="1">
      <alignment horizontal="center"/>
      <protection/>
    </xf>
    <xf numFmtId="0" fontId="13" fillId="9" borderId="38" xfId="0" applyFont="1" applyFill="1" applyBorder="1" applyAlignment="1" applyProtection="1">
      <alignment horizontal="center"/>
      <protection/>
    </xf>
    <xf numFmtId="0" fontId="40" fillId="7" borderId="14" xfId="0" applyFont="1" applyFill="1" applyBorder="1" applyAlignment="1" applyProtection="1">
      <alignment horizontal="center"/>
      <protection/>
    </xf>
    <xf numFmtId="0" fontId="40" fillId="7" borderId="13" xfId="0" applyFont="1" applyFill="1" applyBorder="1" applyAlignment="1" applyProtection="1">
      <alignment horizontal="center"/>
      <protection/>
    </xf>
    <xf numFmtId="0" fontId="13" fillId="9" borderId="35" xfId="0" applyFont="1" applyFill="1" applyBorder="1" applyAlignment="1" applyProtection="1">
      <alignment horizontal="center" shrinkToFit="1"/>
      <protection/>
    </xf>
    <xf numFmtId="0" fontId="13" fillId="9" borderId="34" xfId="0" applyFont="1" applyFill="1" applyBorder="1" applyAlignment="1" applyProtection="1">
      <alignment horizontal="center" shrinkToFit="1"/>
      <protection/>
    </xf>
    <xf numFmtId="0" fontId="8" fillId="0" borderId="9" xfId="0" applyFont="1" applyBorder="1" applyAlignment="1" applyProtection="1">
      <alignment horizontal="center"/>
      <protection/>
    </xf>
    <xf numFmtId="0" fontId="17" fillId="6" borderId="8" xfId="0" applyFont="1" applyFill="1" applyBorder="1" applyAlignment="1" applyProtection="1">
      <alignment horizontal="left"/>
      <protection/>
    </xf>
    <xf numFmtId="0" fontId="8" fillId="5" borderId="8" xfId="0" applyFont="1" applyFill="1" applyBorder="1" applyAlignment="1" applyProtection="1">
      <alignment horizontal="left" shrinkToFit="1"/>
      <protection locked="0"/>
    </xf>
    <xf numFmtId="0" fontId="8" fillId="5" borderId="8" xfId="0" applyFont="1" applyFill="1" applyBorder="1" applyAlignment="1" applyProtection="1">
      <alignment horizontal="left" shrinkToFit="1"/>
      <protection/>
    </xf>
    <xf numFmtId="0" fontId="17" fillId="6" borderId="8" xfId="0" applyFont="1" applyFill="1" applyBorder="1" applyAlignment="1" applyProtection="1">
      <alignment horizontal="center" shrinkToFit="1"/>
      <protection/>
    </xf>
    <xf numFmtId="0" fontId="18" fillId="0" borderId="8" xfId="0" applyFont="1" applyBorder="1" applyAlignment="1" applyProtection="1">
      <alignment horizontal="center" wrapText="1"/>
      <protection/>
    </xf>
    <xf numFmtId="0" fontId="13" fillId="0" borderId="8" xfId="0" applyFont="1" applyBorder="1" applyAlignment="1" applyProtection="1">
      <alignment horizontal="center" wrapText="1"/>
      <protection/>
    </xf>
    <xf numFmtId="0" fontId="18" fillId="10" borderId="8" xfId="0" applyFont="1" applyFill="1" applyBorder="1" applyAlignment="1" applyProtection="1">
      <alignment horizontal="center" wrapText="1"/>
      <protection/>
    </xf>
    <xf numFmtId="0" fontId="17" fillId="6" borderId="39" xfId="0" applyFont="1" applyFill="1" applyBorder="1" applyAlignment="1" applyProtection="1">
      <alignment horizontal="center" shrinkToFit="1"/>
      <protection/>
    </xf>
    <xf numFmtId="0" fontId="17" fillId="6" borderId="37" xfId="0" applyFont="1" applyFill="1" applyBorder="1" applyAlignment="1" applyProtection="1">
      <alignment horizontal="center" shrinkToFit="1"/>
      <protection/>
    </xf>
    <xf numFmtId="0" fontId="17" fillId="6" borderId="38" xfId="0" applyFont="1" applyFill="1" applyBorder="1" applyAlignment="1" applyProtection="1">
      <alignment horizontal="center" shrinkToFit="1"/>
      <protection/>
    </xf>
    <xf numFmtId="0" fontId="45" fillId="10" borderId="8" xfId="0" applyFont="1" applyFill="1" applyBorder="1" applyAlignment="1" applyProtection="1">
      <alignment horizontal="left" shrinkToFit="1"/>
      <protection/>
    </xf>
    <xf numFmtId="0" fontId="8" fillId="0" borderId="2" xfId="0" applyFont="1" applyBorder="1" applyAlignment="1" applyProtection="1">
      <alignment horizontal="center"/>
      <protection/>
    </xf>
    <xf numFmtId="0" fontId="2" fillId="0" borderId="40" xfId="0" applyFont="1" applyBorder="1" applyAlignment="1" applyProtection="1">
      <alignment horizontal="right"/>
      <protection/>
    </xf>
    <xf numFmtId="0" fontId="2" fillId="0" borderId="41" xfId="0" applyFont="1" applyBorder="1" applyAlignment="1" applyProtection="1">
      <alignment horizontal="right"/>
      <protection/>
    </xf>
    <xf numFmtId="0" fontId="2" fillId="0" borderId="42" xfId="0" applyFont="1" applyBorder="1" applyAlignment="1" applyProtection="1">
      <alignment horizontal="right"/>
      <protection/>
    </xf>
    <xf numFmtId="0" fontId="2" fillId="0" borderId="8" xfId="0" applyFont="1" applyBorder="1" applyAlignment="1" applyProtection="1">
      <alignment horizontal="right"/>
      <protection/>
    </xf>
    <xf numFmtId="0" fontId="44" fillId="5" borderId="43" xfId="0" applyFont="1" applyFill="1" applyBorder="1" applyAlignment="1" applyProtection="1">
      <alignment horizontal="center"/>
      <protection locked="0"/>
    </xf>
    <xf numFmtId="0" fontId="44" fillId="5" borderId="44" xfId="0" applyFont="1" applyFill="1" applyBorder="1" applyAlignment="1" applyProtection="1">
      <alignment horizontal="center"/>
      <protection locked="0"/>
    </xf>
    <xf numFmtId="0" fontId="44" fillId="5" borderId="45" xfId="0" applyFont="1" applyFill="1" applyBorder="1" applyAlignment="1" applyProtection="1">
      <alignment horizontal="center"/>
      <protection locked="0"/>
    </xf>
    <xf numFmtId="0" fontId="1" fillId="5" borderId="8" xfId="0" applyFont="1" applyFill="1" applyBorder="1" applyAlignment="1" applyProtection="1">
      <alignment horizontal="left"/>
      <protection locked="0"/>
    </xf>
    <xf numFmtId="0" fontId="1" fillId="5" borderId="46" xfId="0" applyFont="1" applyFill="1" applyBorder="1" applyAlignment="1" applyProtection="1">
      <alignment horizontal="left"/>
      <protection locked="0"/>
    </xf>
    <xf numFmtId="0" fontId="17" fillId="6" borderId="34" xfId="0" applyFont="1" applyFill="1" applyBorder="1" applyAlignment="1" applyProtection="1">
      <alignment horizontal="center" shrinkToFit="1"/>
      <protection/>
    </xf>
    <xf numFmtId="0" fontId="18" fillId="0" borderId="34" xfId="0" applyFont="1" applyBorder="1" applyAlignment="1" applyProtection="1">
      <alignment horizontal="center" wrapText="1"/>
      <protection/>
    </xf>
    <xf numFmtId="0" fontId="1" fillId="5" borderId="41" xfId="0" applyFont="1" applyFill="1" applyBorder="1" applyAlignment="1" applyProtection="1">
      <alignment horizontal="left"/>
      <protection locked="0"/>
    </xf>
    <xf numFmtId="0" fontId="1" fillId="5" borderId="47" xfId="0" applyFont="1" applyFill="1" applyBorder="1" applyAlignment="1" applyProtection="1">
      <alignment horizontal="left"/>
      <protection locked="0"/>
    </xf>
    <xf numFmtId="168" fontId="1" fillId="5" borderId="35" xfId="0" applyNumberFormat="1" applyFont="1" applyFill="1" applyBorder="1" applyAlignment="1" applyProtection="1">
      <alignment horizontal="center"/>
      <protection locked="0"/>
    </xf>
    <xf numFmtId="168" fontId="1" fillId="5" borderId="36" xfId="0" applyNumberFormat="1" applyFont="1" applyFill="1" applyBorder="1" applyAlignment="1" applyProtection="1">
      <alignment horizontal="center"/>
      <protection locked="0"/>
    </xf>
    <xf numFmtId="168" fontId="1" fillId="5" borderId="34" xfId="0" applyNumberFormat="1" applyFont="1" applyFill="1" applyBorder="1" applyAlignment="1" applyProtection="1">
      <alignment horizontal="center"/>
      <protection locked="0"/>
    </xf>
    <xf numFmtId="0" fontId="41" fillId="0" borderId="48" xfId="0" applyFont="1" applyBorder="1" applyAlignment="1" applyProtection="1">
      <alignment horizontal="left" vertical="center" wrapText="1"/>
      <protection/>
    </xf>
    <xf numFmtId="0" fontId="41" fillId="0" borderId="2" xfId="0" applyFont="1" applyBorder="1" applyAlignment="1" applyProtection="1">
      <alignment horizontal="left" vertical="center" wrapText="1"/>
      <protection/>
    </xf>
    <xf numFmtId="0" fontId="41" fillId="0" borderId="13" xfId="0" applyFont="1" applyBorder="1" applyAlignment="1" applyProtection="1">
      <alignment horizontal="left" vertical="center" wrapText="1"/>
      <protection/>
    </xf>
    <xf numFmtId="0" fontId="41" fillId="0" borderId="49" xfId="0" applyFont="1" applyBorder="1" applyAlignment="1" applyProtection="1">
      <alignment horizontal="left" vertical="center" wrapText="1"/>
      <protection/>
    </xf>
    <xf numFmtId="0" fontId="41" fillId="0" borderId="15" xfId="0" applyFont="1" applyBorder="1" applyAlignment="1" applyProtection="1">
      <alignment horizontal="left" vertical="center" wrapText="1"/>
      <protection/>
    </xf>
    <xf numFmtId="0" fontId="41" fillId="0" borderId="16" xfId="0" applyFont="1" applyBorder="1" applyAlignment="1" applyProtection="1">
      <alignment horizontal="left" vertical="center" wrapText="1"/>
      <protection/>
    </xf>
    <xf numFmtId="0" fontId="1" fillId="5" borderId="50" xfId="0" applyFont="1" applyFill="1" applyBorder="1" applyAlignment="1" applyProtection="1">
      <alignment horizontal="left"/>
      <protection locked="0"/>
    </xf>
    <xf numFmtId="0" fontId="1" fillId="5" borderId="51" xfId="0" applyFont="1" applyFill="1" applyBorder="1" applyAlignment="1" applyProtection="1">
      <alignment horizontal="left"/>
      <protection locked="0"/>
    </xf>
    <xf numFmtId="0" fontId="1" fillId="5" borderId="52" xfId="0" applyFont="1" applyFill="1" applyBorder="1" applyAlignment="1" applyProtection="1">
      <alignment horizontal="left"/>
      <protection locked="0"/>
    </xf>
    <xf numFmtId="0" fontId="34" fillId="0" borderId="53" xfId="0" applyFont="1" applyBorder="1" applyAlignment="1" applyProtection="1">
      <alignment horizontal="right"/>
      <protection/>
    </xf>
    <xf numFmtId="0" fontId="2" fillId="0" borderId="40" xfId="0" applyFont="1" applyBorder="1" applyAlignment="1" applyProtection="1">
      <alignment horizontal="center"/>
      <protection/>
    </xf>
    <xf numFmtId="0" fontId="2" fillId="0" borderId="41" xfId="0" applyFont="1" applyBorder="1" applyAlignment="1" applyProtection="1">
      <alignment horizontal="center"/>
      <protection/>
    </xf>
    <xf numFmtId="0" fontId="1" fillId="5" borderId="54" xfId="0" applyFont="1" applyFill="1" applyBorder="1" applyAlignment="1" applyProtection="1">
      <alignment horizontal="center" shrinkToFit="1"/>
      <protection locked="0"/>
    </xf>
    <xf numFmtId="0" fontId="1" fillId="5" borderId="52" xfId="0" applyFont="1" applyFill="1" applyBorder="1" applyAlignment="1" applyProtection="1">
      <alignment horizontal="center" shrinkToFit="1"/>
      <protection locked="0"/>
    </xf>
    <xf numFmtId="0" fontId="18" fillId="7" borderId="14" xfId="0" applyFont="1" applyFill="1" applyBorder="1" applyAlignment="1" applyProtection="1">
      <alignment horizontal="center"/>
      <protection/>
    </xf>
    <xf numFmtId="0" fontId="18" fillId="7" borderId="2" xfId="0" applyFont="1" applyFill="1" applyBorder="1" applyAlignment="1" applyProtection="1">
      <alignment horizontal="center"/>
      <protection/>
    </xf>
    <xf numFmtId="0" fontId="18" fillId="7" borderId="13" xfId="0" applyFont="1" applyFill="1" applyBorder="1" applyAlignment="1" applyProtection="1">
      <alignment horizontal="center"/>
      <protection/>
    </xf>
    <xf numFmtId="0" fontId="2" fillId="0" borderId="55" xfId="0" applyFont="1" applyBorder="1" applyAlignment="1" applyProtection="1">
      <alignment horizontal="right"/>
      <protection/>
    </xf>
    <xf numFmtId="0" fontId="2" fillId="0" borderId="53" xfId="0" applyFont="1" applyBorder="1" applyAlignment="1" applyProtection="1">
      <alignment horizontal="right"/>
      <protection/>
    </xf>
    <xf numFmtId="0" fontId="1" fillId="4" borderId="50" xfId="0" applyFont="1" applyFill="1" applyBorder="1" applyAlignment="1" applyProtection="1">
      <alignment horizontal="left" shrinkToFit="1"/>
      <protection locked="0"/>
    </xf>
    <xf numFmtId="0" fontId="1" fillId="4" borderId="56" xfId="0" applyFont="1" applyFill="1" applyBorder="1" applyAlignment="1" applyProtection="1">
      <alignment horizontal="left" shrinkToFit="1"/>
      <protection locked="0"/>
    </xf>
    <xf numFmtId="0" fontId="13" fillId="0" borderId="55" xfId="0" applyFont="1" applyBorder="1" applyAlignment="1" applyProtection="1">
      <alignment horizontal="center"/>
      <protection/>
    </xf>
    <xf numFmtId="0" fontId="13" fillId="0" borderId="53" xfId="0" applyFont="1" applyBorder="1" applyAlignment="1" applyProtection="1">
      <alignment horizontal="center"/>
      <protection/>
    </xf>
    <xf numFmtId="0" fontId="14" fillId="0" borderId="53" xfId="0" applyFont="1" applyBorder="1" applyAlignment="1" applyProtection="1">
      <alignment horizontal="center"/>
      <protection/>
    </xf>
    <xf numFmtId="0" fontId="14" fillId="5" borderId="50" xfId="0" applyFont="1" applyFill="1" applyBorder="1" applyAlignment="1" applyProtection="1">
      <alignment horizontal="center"/>
      <protection locked="0"/>
    </xf>
    <xf numFmtId="0" fontId="14" fillId="5" borderId="52" xfId="0" applyFont="1" applyFill="1" applyBorder="1" applyAlignment="1" applyProtection="1">
      <alignment horizontal="center"/>
      <protection locked="0"/>
    </xf>
    <xf numFmtId="0" fontId="14" fillId="5" borderId="53"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5" borderId="8" xfId="0" applyFont="1" applyFill="1" applyBorder="1" applyAlignment="1" applyProtection="1">
      <alignment horizontal="center"/>
      <protection locked="0"/>
    </xf>
    <xf numFmtId="0" fontId="8" fillId="5" borderId="8" xfId="0" applyFont="1" applyFill="1" applyBorder="1" applyAlignment="1" applyProtection="1">
      <alignment horizontal="center"/>
      <protection/>
    </xf>
    <xf numFmtId="0" fontId="17" fillId="6" borderId="57" xfId="0" applyFont="1" applyFill="1" applyBorder="1" applyAlignment="1" applyProtection="1">
      <alignment horizontal="center" shrinkToFit="1"/>
      <protection/>
    </xf>
    <xf numFmtId="0" fontId="17" fillId="6" borderId="58" xfId="0" applyFont="1" applyFill="1" applyBorder="1" applyAlignment="1" applyProtection="1">
      <alignment horizontal="center" shrinkToFit="1"/>
      <protection/>
    </xf>
    <xf numFmtId="0" fontId="8" fillId="4" borderId="42" xfId="0" applyFont="1" applyFill="1" applyBorder="1" applyAlignment="1" applyProtection="1">
      <alignment horizontal="center"/>
      <protection locked="0"/>
    </xf>
    <xf numFmtId="0" fontId="8" fillId="4" borderId="8" xfId="0" applyFont="1" applyFill="1" applyBorder="1" applyAlignment="1" applyProtection="1">
      <alignment horizontal="center"/>
      <protection locked="0"/>
    </xf>
    <xf numFmtId="0" fontId="8" fillId="4" borderId="55" xfId="0" applyFont="1" applyFill="1" applyBorder="1" applyAlignment="1" applyProtection="1">
      <alignment horizontal="center"/>
      <protection locked="0"/>
    </xf>
    <xf numFmtId="0" fontId="8" fillId="4" borderId="53" xfId="0" applyFont="1" applyFill="1" applyBorder="1" applyAlignment="1" applyProtection="1">
      <alignment horizontal="center"/>
      <protection locked="0"/>
    </xf>
    <xf numFmtId="0" fontId="14" fillId="9" borderId="41" xfId="0" applyFont="1" applyFill="1" applyBorder="1" applyAlignment="1" applyProtection="1">
      <alignment horizontal="center"/>
      <protection/>
    </xf>
    <xf numFmtId="0" fontId="14" fillId="9" borderId="47" xfId="0" applyFont="1" applyFill="1" applyBorder="1" applyAlignment="1" applyProtection="1">
      <alignment horizontal="center"/>
      <protection/>
    </xf>
    <xf numFmtId="0" fontId="8" fillId="0" borderId="8" xfId="0" applyFont="1" applyFill="1" applyBorder="1" applyAlignment="1" applyProtection="1">
      <alignment horizontal="center" shrinkToFit="1"/>
      <protection locked="0"/>
    </xf>
    <xf numFmtId="0" fontId="8" fillId="0" borderId="46" xfId="0" applyFont="1" applyFill="1" applyBorder="1" applyAlignment="1" applyProtection="1">
      <alignment horizontal="center" shrinkToFit="1"/>
      <protection locked="0"/>
    </xf>
    <xf numFmtId="0" fontId="8" fillId="0" borderId="53" xfId="0" applyFont="1" applyFill="1" applyBorder="1" applyAlignment="1" applyProtection="1">
      <alignment horizontal="center" shrinkToFit="1"/>
      <protection locked="0"/>
    </xf>
    <xf numFmtId="0" fontId="8" fillId="0" borderId="59" xfId="0" applyFont="1" applyFill="1" applyBorder="1" applyAlignment="1" applyProtection="1">
      <alignment horizontal="center" shrinkToFit="1"/>
      <protection locked="0"/>
    </xf>
    <xf numFmtId="0" fontId="13" fillId="0" borderId="41" xfId="0" applyFont="1" applyBorder="1" applyAlignment="1">
      <alignment horizontal="center" vertical="center" textRotation="90" shrinkToFit="1"/>
    </xf>
    <xf numFmtId="0" fontId="13" fillId="0" borderId="8" xfId="0" applyFont="1" applyBorder="1" applyAlignment="1">
      <alignment horizontal="center" vertical="center" textRotation="90" shrinkToFit="1"/>
    </xf>
    <xf numFmtId="0" fontId="33" fillId="6" borderId="42" xfId="0" applyFont="1" applyFill="1" applyBorder="1" applyAlignment="1">
      <alignment horizontal="center" vertical="center" textRotation="90"/>
    </xf>
    <xf numFmtId="0" fontId="33" fillId="6" borderId="55" xfId="0" applyFont="1" applyFill="1" applyBorder="1" applyAlignment="1">
      <alignment horizontal="center" vertical="center" textRotation="90"/>
    </xf>
    <xf numFmtId="0" fontId="2" fillId="0" borderId="8" xfId="0" applyFont="1" applyBorder="1" applyAlignment="1">
      <alignment horizontal="center"/>
    </xf>
    <xf numFmtId="0" fontId="1" fillId="0" borderId="0" xfId="0" applyFont="1" applyAlignment="1">
      <alignment horizontal="center" textRotation="90"/>
    </xf>
    <xf numFmtId="0" fontId="8" fillId="0" borderId="53" xfId="0" applyFont="1" applyBorder="1" applyAlignment="1">
      <alignment horizontal="center"/>
    </xf>
    <xf numFmtId="0" fontId="8" fillId="0" borderId="59" xfId="0" applyFont="1" applyBorder="1" applyAlignment="1">
      <alignment horizontal="center"/>
    </xf>
    <xf numFmtId="0" fontId="17" fillId="6" borderId="8" xfId="0" applyFont="1" applyFill="1" applyBorder="1" applyAlignment="1">
      <alignment horizontal="center"/>
    </xf>
    <xf numFmtId="172" fontId="13" fillId="0" borderId="8" xfId="0" applyNumberFormat="1" applyFont="1" applyBorder="1" applyAlignment="1">
      <alignment horizontal="center" shrinkToFit="1"/>
    </xf>
    <xf numFmtId="0" fontId="8" fillId="0" borderId="8" xfId="0" applyFont="1" applyBorder="1" applyAlignment="1">
      <alignment horizontal="center"/>
    </xf>
    <xf numFmtId="0" fontId="8" fillId="0" borderId="46" xfId="0" applyFont="1" applyBorder="1" applyAlignment="1">
      <alignment horizontal="center"/>
    </xf>
    <xf numFmtId="0" fontId="29" fillId="0" borderId="42" xfId="0" applyFont="1" applyBorder="1" applyAlignment="1">
      <alignment horizontal="center" wrapText="1"/>
    </xf>
    <xf numFmtId="0" fontId="29" fillId="0" borderId="8" xfId="0" applyFont="1" applyBorder="1" applyAlignment="1">
      <alignment horizontal="center" wrapText="1"/>
    </xf>
    <xf numFmtId="0" fontId="18" fillId="5" borderId="8" xfId="0" applyFont="1" applyFill="1" applyBorder="1" applyAlignment="1">
      <alignment horizontal="center"/>
    </xf>
    <xf numFmtId="0" fontId="8" fillId="0" borderId="35" xfId="0" applyFont="1" applyBorder="1" applyAlignment="1" applyProtection="1">
      <alignment horizontal="center" shrinkToFit="1"/>
      <protection locked="0"/>
    </xf>
    <xf numFmtId="0" fontId="8" fillId="0" borderId="36" xfId="0" applyFont="1" applyBorder="1" applyAlignment="1" applyProtection="1">
      <alignment horizontal="center" shrinkToFit="1"/>
      <protection locked="0"/>
    </xf>
    <xf numFmtId="0" fontId="8" fillId="0" borderId="34" xfId="0" applyFont="1" applyBorder="1" applyAlignment="1" applyProtection="1">
      <alignment horizontal="center" shrinkToFit="1"/>
      <protection locked="0"/>
    </xf>
    <xf numFmtId="0" fontId="35" fillId="11" borderId="35" xfId="0" applyFont="1" applyFill="1" applyBorder="1" applyAlignment="1">
      <alignment horizontal="center"/>
    </xf>
    <xf numFmtId="0" fontId="35" fillId="11" borderId="36" xfId="0" applyFont="1" applyFill="1" applyBorder="1" applyAlignment="1">
      <alignment horizontal="center"/>
    </xf>
    <xf numFmtId="0" fontId="2" fillId="0" borderId="46" xfId="0" applyFont="1" applyBorder="1" applyAlignment="1">
      <alignment horizontal="center"/>
    </xf>
    <xf numFmtId="0" fontId="34" fillId="0" borderId="8" xfId="0" applyFont="1" applyBorder="1" applyAlignment="1">
      <alignment horizontal="center" shrinkToFit="1"/>
    </xf>
    <xf numFmtId="0" fontId="33" fillId="6" borderId="35" xfId="0" applyFont="1" applyFill="1" applyBorder="1" applyAlignment="1">
      <alignment horizontal="center" shrinkToFit="1"/>
    </xf>
    <xf numFmtId="0" fontId="33" fillId="6" borderId="36" xfId="0" applyFont="1" applyFill="1" applyBorder="1" applyAlignment="1">
      <alignment horizontal="center" shrinkToFit="1"/>
    </xf>
    <xf numFmtId="0" fontId="33" fillId="6" borderId="34" xfId="0" applyFont="1" applyFill="1" applyBorder="1" applyAlignment="1">
      <alignment horizontal="center" shrinkToFit="1"/>
    </xf>
    <xf numFmtId="0" fontId="29" fillId="0" borderId="55" xfId="0" applyFont="1" applyBorder="1" applyAlignment="1">
      <alignment horizontal="center" wrapText="1"/>
    </xf>
    <xf numFmtId="0" fontId="29" fillId="0" borderId="53" xfId="0" applyFont="1" applyBorder="1" applyAlignment="1">
      <alignment horizontal="center" wrapText="1"/>
    </xf>
    <xf numFmtId="172" fontId="13" fillId="0" borderId="53" xfId="0" applyNumberFormat="1" applyFont="1" applyBorder="1" applyAlignment="1">
      <alignment horizontal="center" shrinkToFit="1"/>
    </xf>
    <xf numFmtId="0" fontId="8" fillId="0" borderId="8" xfId="0" applyFont="1" applyBorder="1" applyAlignment="1">
      <alignment horizontal="center" shrinkToFit="1"/>
    </xf>
    <xf numFmtId="0" fontId="2" fillId="0" borderId="8" xfId="0" applyFont="1" applyBorder="1" applyAlignment="1">
      <alignment horizontal="center" textRotation="90"/>
    </xf>
    <xf numFmtId="0" fontId="2" fillId="0" borderId="53" xfId="0" applyFont="1" applyBorder="1" applyAlignment="1">
      <alignment horizontal="center" textRotation="90"/>
    </xf>
    <xf numFmtId="0" fontId="13" fillId="0" borderId="14" xfId="0" applyFont="1" applyBorder="1" applyAlignment="1">
      <alignment horizontal="center"/>
    </xf>
    <xf numFmtId="0" fontId="13" fillId="0" borderId="2" xfId="0" applyFont="1" applyBorder="1" applyAlignment="1">
      <alignment horizontal="center"/>
    </xf>
    <xf numFmtId="0" fontId="41" fillId="0" borderId="2" xfId="0" applyFont="1" applyBorder="1" applyAlignment="1">
      <alignment horizontal="left"/>
    </xf>
    <xf numFmtId="0" fontId="41" fillId="0" borderId="13" xfId="0" applyFont="1" applyBorder="1" applyAlignment="1">
      <alignment horizontal="left"/>
    </xf>
    <xf numFmtId="0" fontId="41" fillId="0" borderId="0" xfId="0" applyFont="1" applyBorder="1" applyAlignment="1">
      <alignment horizontal="left"/>
    </xf>
    <xf numFmtId="0" fontId="41" fillId="0" borderId="10" xfId="0" applyFont="1" applyBorder="1" applyAlignment="1">
      <alignment horizontal="left"/>
    </xf>
    <xf numFmtId="0" fontId="41" fillId="0" borderId="15" xfId="0" applyFont="1" applyBorder="1" applyAlignment="1">
      <alignment horizontal="left"/>
    </xf>
    <xf numFmtId="0" fontId="41" fillId="0" borderId="16" xfId="0" applyFont="1" applyBorder="1" applyAlignment="1">
      <alignment horizontal="left"/>
    </xf>
    <xf numFmtId="0" fontId="46" fillId="2" borderId="0" xfId="0" applyFont="1" applyFill="1" applyBorder="1" applyAlignment="1">
      <alignment horizontal="center" textRotation="90" shrinkToFit="1"/>
    </xf>
    <xf numFmtId="0" fontId="46" fillId="2" borderId="3" xfId="0" applyFont="1" applyFill="1" applyBorder="1" applyAlignment="1">
      <alignment horizontal="center" textRotation="90" shrinkToFit="1"/>
    </xf>
    <xf numFmtId="0" fontId="8" fillId="0" borderId="8" xfId="0" applyFont="1" applyBorder="1" applyAlignment="1">
      <alignment horizontal="center" wrapText="1"/>
    </xf>
    <xf numFmtId="0" fontId="13" fillId="0" borderId="8" xfId="0" applyFont="1" applyBorder="1" applyAlignment="1">
      <alignment horizontal="center"/>
    </xf>
    <xf numFmtId="0" fontId="13" fillId="0" borderId="46" xfId="0" applyFont="1" applyBorder="1" applyAlignment="1">
      <alignment horizontal="center"/>
    </xf>
    <xf numFmtId="0" fontId="13" fillId="0" borderId="42" xfId="0" applyFont="1" applyBorder="1" applyAlignment="1">
      <alignment horizontal="center" wrapText="1"/>
    </xf>
    <xf numFmtId="0" fontId="13" fillId="0" borderId="8" xfId="0" applyFont="1" applyBorder="1" applyAlignment="1">
      <alignment horizontal="center" wrapText="1"/>
    </xf>
    <xf numFmtId="0" fontId="17" fillId="6" borderId="8" xfId="0" applyFont="1" applyFill="1" applyBorder="1" applyAlignment="1">
      <alignment horizontal="left"/>
    </xf>
    <xf numFmtId="0" fontId="17" fillId="6" borderId="40" xfId="0" applyFont="1" applyFill="1" applyBorder="1" applyAlignment="1">
      <alignment horizontal="center" shrinkToFit="1"/>
    </xf>
    <xf numFmtId="0" fontId="17" fillId="6" borderId="41" xfId="0" applyFont="1" applyFill="1" applyBorder="1" applyAlignment="1">
      <alignment horizontal="center" shrinkToFit="1"/>
    </xf>
    <xf numFmtId="0" fontId="17" fillId="6" borderId="47" xfId="0" applyFont="1" applyFill="1" applyBorder="1" applyAlignment="1">
      <alignment horizontal="center" shrinkToFit="1"/>
    </xf>
    <xf numFmtId="0" fontId="8" fillId="0" borderId="55" xfId="0" applyFont="1" applyBorder="1" applyAlignment="1">
      <alignment horizontal="center" shrinkToFit="1"/>
    </xf>
    <xf numFmtId="0" fontId="8" fillId="0" borderId="53" xfId="0" applyFont="1" applyBorder="1" applyAlignment="1">
      <alignment horizontal="center" shrinkToFit="1"/>
    </xf>
    <xf numFmtId="0" fontId="8" fillId="0" borderId="42" xfId="0" applyFont="1" applyBorder="1" applyAlignment="1">
      <alignment horizontal="center" shrinkToFit="1"/>
    </xf>
    <xf numFmtId="0" fontId="17" fillId="6" borderId="60" xfId="0" applyFont="1" applyFill="1" applyBorder="1" applyAlignment="1">
      <alignment horizontal="center" shrinkToFit="1"/>
    </xf>
    <xf numFmtId="0" fontId="17" fillId="6" borderId="61" xfId="0" applyFont="1" applyFill="1" applyBorder="1" applyAlignment="1">
      <alignment horizontal="center" shrinkToFit="1"/>
    </xf>
    <xf numFmtId="0" fontId="17" fillId="6" borderId="62" xfId="0" applyFont="1" applyFill="1" applyBorder="1" applyAlignment="1">
      <alignment horizontal="center" shrinkToFit="1"/>
    </xf>
    <xf numFmtId="0" fontId="13" fillId="0" borderId="53" xfId="0" applyNumberFormat="1" applyFont="1" applyBorder="1" applyAlignment="1">
      <alignment horizontal="center" shrinkToFit="1"/>
    </xf>
    <xf numFmtId="0" fontId="8" fillId="0" borderId="46" xfId="0" applyFont="1" applyBorder="1" applyAlignment="1">
      <alignment horizontal="center" shrinkToFit="1"/>
    </xf>
    <xf numFmtId="0" fontId="13" fillId="0" borderId="8" xfId="0" applyNumberFormat="1" applyFont="1" applyBorder="1" applyAlignment="1">
      <alignment horizontal="center" shrinkToFit="1"/>
    </xf>
    <xf numFmtId="0" fontId="47" fillId="6" borderId="37" xfId="0" applyFont="1" applyFill="1" applyBorder="1" applyAlignment="1">
      <alignment horizontal="center"/>
    </xf>
    <xf numFmtId="0" fontId="13" fillId="0" borderId="47" xfId="0" applyFont="1" applyBorder="1" applyAlignment="1">
      <alignment horizontal="center" vertical="center" textRotation="90" shrinkToFit="1"/>
    </xf>
    <xf numFmtId="0" fontId="13" fillId="0" borderId="46" xfId="0" applyFont="1" applyBorder="1" applyAlignment="1">
      <alignment horizontal="center" vertical="center" textRotation="90" shrinkToFit="1"/>
    </xf>
    <xf numFmtId="0" fontId="30" fillId="8" borderId="14" xfId="0" applyFont="1" applyFill="1" applyBorder="1" applyAlignment="1" applyProtection="1">
      <alignment horizontal="center" vertical="center" textRotation="180" wrapText="1"/>
      <protection locked="0"/>
    </xf>
    <xf numFmtId="0" fontId="30" fillId="8" borderId="2" xfId="0" applyFont="1" applyFill="1" applyBorder="1" applyAlignment="1" applyProtection="1">
      <alignment horizontal="center" vertical="center" textRotation="180" wrapText="1"/>
      <protection locked="0"/>
    </xf>
    <xf numFmtId="0" fontId="30" fillId="8" borderId="13" xfId="0" applyFont="1" applyFill="1" applyBorder="1" applyAlignment="1" applyProtection="1">
      <alignment horizontal="center" vertical="center" textRotation="180" wrapText="1"/>
      <protection locked="0"/>
    </xf>
    <xf numFmtId="0" fontId="30" fillId="8" borderId="21" xfId="0" applyFont="1" applyFill="1" applyBorder="1" applyAlignment="1" applyProtection="1">
      <alignment horizontal="center" vertical="center" textRotation="180" wrapText="1"/>
      <protection locked="0"/>
    </xf>
    <xf numFmtId="0" fontId="30" fillId="8" borderId="0" xfId="0" applyFont="1" applyFill="1" applyBorder="1" applyAlignment="1" applyProtection="1">
      <alignment horizontal="center" vertical="center" textRotation="180" wrapText="1"/>
      <protection locked="0"/>
    </xf>
    <xf numFmtId="0" fontId="30" fillId="8" borderId="10" xfId="0" applyFont="1" applyFill="1" applyBorder="1" applyAlignment="1" applyProtection="1">
      <alignment horizontal="center" vertical="center" textRotation="180" wrapText="1"/>
      <protection locked="0"/>
    </xf>
    <xf numFmtId="0" fontId="30" fillId="8" borderId="20" xfId="0" applyFont="1" applyFill="1" applyBorder="1" applyAlignment="1" applyProtection="1">
      <alignment horizontal="center" vertical="center" textRotation="180" wrapText="1"/>
      <protection locked="0"/>
    </xf>
    <xf numFmtId="0" fontId="30" fillId="8" borderId="15" xfId="0" applyFont="1" applyFill="1" applyBorder="1" applyAlignment="1" applyProtection="1">
      <alignment horizontal="center" vertical="center" textRotation="180" wrapText="1"/>
      <protection locked="0"/>
    </xf>
    <xf numFmtId="0" fontId="30" fillId="8" borderId="16" xfId="0" applyFont="1" applyFill="1" applyBorder="1" applyAlignment="1" applyProtection="1">
      <alignment horizontal="center" vertical="center" textRotation="180" wrapText="1"/>
      <protection locked="0"/>
    </xf>
    <xf numFmtId="0" fontId="33" fillId="6" borderId="40" xfId="0" applyFont="1" applyFill="1" applyBorder="1" applyAlignment="1">
      <alignment horizontal="center" vertical="center" textRotation="90"/>
    </xf>
    <xf numFmtId="0" fontId="2" fillId="0" borderId="46" xfId="0" applyFont="1" applyBorder="1" applyAlignment="1">
      <alignment horizontal="center" textRotation="90"/>
    </xf>
    <xf numFmtId="0" fontId="2" fillId="0" borderId="59" xfId="0" applyFont="1" applyBorder="1" applyAlignment="1">
      <alignment horizontal="center" textRotation="90"/>
    </xf>
    <xf numFmtId="0" fontId="28" fillId="0" borderId="7" xfId="0" applyFont="1" applyBorder="1" applyAlignment="1">
      <alignment horizontal="center"/>
    </xf>
    <xf numFmtId="0" fontId="28" fillId="0" borderId="17" xfId="0" applyFont="1" applyBorder="1" applyAlignment="1">
      <alignment horizontal="center"/>
    </xf>
    <xf numFmtId="0" fontId="39" fillId="0" borderId="18" xfId="0" applyFont="1" applyBorder="1" applyAlignment="1">
      <alignment horizontal="left" vertical="top" wrapText="1"/>
    </xf>
    <xf numFmtId="0" fontId="39" fillId="0" borderId="0" xfId="0" applyFont="1" applyBorder="1" applyAlignment="1">
      <alignment horizontal="left" vertical="top" wrapText="1"/>
    </xf>
    <xf numFmtId="0" fontId="39" fillId="0" borderId="19" xfId="0" applyFont="1" applyBorder="1" applyAlignment="1">
      <alignment horizontal="left" vertical="top" wrapText="1"/>
    </xf>
    <xf numFmtId="0" fontId="39" fillId="0" borderId="39" xfId="0" applyFont="1" applyBorder="1" applyAlignment="1">
      <alignment horizontal="left" vertical="top" wrapText="1"/>
    </xf>
    <xf numFmtId="0" fontId="39" fillId="0" borderId="37" xfId="0" applyFont="1" applyBorder="1" applyAlignment="1">
      <alignment horizontal="left" vertical="top" wrapText="1"/>
    </xf>
    <xf numFmtId="0" fontId="39" fillId="0" borderId="38" xfId="0" applyFont="1" applyBorder="1" applyAlignment="1">
      <alignment horizontal="left" vertical="top" wrapText="1"/>
    </xf>
    <xf numFmtId="0" fontId="17" fillId="6" borderId="63" xfId="0" applyFont="1" applyFill="1" applyBorder="1" applyAlignment="1">
      <alignment horizontal="center"/>
    </xf>
    <xf numFmtId="172" fontId="13" fillId="0" borderId="9" xfId="0" applyNumberFormat="1" applyFont="1" applyBorder="1" applyAlignment="1">
      <alignment horizontal="center" shrinkToFit="1"/>
    </xf>
    <xf numFmtId="0" fontId="0" fillId="0" borderId="9" xfId="0" applyBorder="1" applyAlignment="1">
      <alignment horizontal="center"/>
    </xf>
    <xf numFmtId="0" fontId="0" fillId="0" borderId="64" xfId="0" applyBorder="1" applyAlignment="1">
      <alignment horizontal="center"/>
    </xf>
    <xf numFmtId="0" fontId="35" fillId="11" borderId="6" xfId="0" applyFont="1" applyFill="1" applyBorder="1" applyAlignment="1">
      <alignment horizontal="center"/>
    </xf>
    <xf numFmtId="0" fontId="35" fillId="11" borderId="7" xfId="0" applyFont="1" applyFill="1" applyBorder="1" applyAlignment="1">
      <alignment horizontal="center"/>
    </xf>
    <xf numFmtId="0" fontId="0" fillId="0" borderId="8" xfId="0" applyBorder="1" applyAlignment="1">
      <alignment horizontal="center"/>
    </xf>
    <xf numFmtId="0" fontId="0" fillId="0" borderId="46" xfId="0" applyBorder="1" applyAlignment="1">
      <alignment horizontal="center"/>
    </xf>
    <xf numFmtId="0" fontId="15" fillId="8" borderId="0" xfId="0" applyFont="1" applyFill="1" applyBorder="1" applyAlignment="1">
      <alignment horizontal="center"/>
    </xf>
    <xf numFmtId="0" fontId="0" fillId="0" borderId="8" xfId="0" applyBorder="1" applyAlignment="1">
      <alignment horizontal="center" shrinkToFit="1"/>
    </xf>
    <xf numFmtId="0" fontId="0" fillId="0" borderId="46" xfId="0" applyBorder="1" applyAlignment="1">
      <alignment horizontal="center" shrinkToFit="1"/>
    </xf>
    <xf numFmtId="0" fontId="0" fillId="0" borderId="8" xfId="0" applyBorder="1" applyAlignment="1">
      <alignment horizontal="center" wrapText="1"/>
    </xf>
    <xf numFmtId="0" fontId="13" fillId="0" borderId="59" xfId="0" applyNumberFormat="1" applyFont="1" applyBorder="1" applyAlignment="1">
      <alignment horizontal="center" shrinkToFit="1"/>
    </xf>
    <xf numFmtId="0" fontId="8" fillId="0" borderId="9" xfId="0" applyFont="1" applyBorder="1" applyAlignment="1">
      <alignment horizontal="center" wrapText="1"/>
    </xf>
    <xf numFmtId="0" fontId="0" fillId="0" borderId="9" xfId="0" applyBorder="1" applyAlignment="1">
      <alignment horizontal="center" wrapText="1"/>
    </xf>
    <xf numFmtId="0" fontId="13" fillId="0" borderId="46" xfId="0" applyNumberFormat="1" applyFont="1" applyBorder="1" applyAlignment="1">
      <alignment horizontal="center" shrinkToFit="1"/>
    </xf>
    <xf numFmtId="0" fontId="17" fillId="8" borderId="0" xfId="0" applyFont="1" applyFill="1" applyBorder="1" applyAlignment="1">
      <alignment horizontal="center"/>
    </xf>
    <xf numFmtId="0" fontId="9" fillId="6" borderId="0" xfId="0" applyFont="1" applyFill="1" applyAlignment="1">
      <alignment horizontal="center"/>
    </xf>
    <xf numFmtId="0" fontId="22" fillId="2" borderId="14" xfId="0" applyFont="1" applyFill="1" applyBorder="1" applyAlignment="1">
      <alignment horizontal="left" vertical="center" shrinkToFit="1"/>
    </xf>
    <xf numFmtId="0" fontId="0" fillId="0" borderId="2" xfId="0" applyBorder="1" applyAlignment="1">
      <alignment/>
    </xf>
    <xf numFmtId="0" fontId="10" fillId="2" borderId="30" xfId="0" applyFont="1" applyFill="1" applyBorder="1" applyAlignment="1">
      <alignment horizontal="center" vertical="center" textRotation="90" shrinkToFit="1"/>
    </xf>
    <xf numFmtId="0" fontId="0" fillId="0" borderId="31" xfId="0" applyBorder="1" applyAlignment="1">
      <alignment/>
    </xf>
    <xf numFmtId="0" fontId="0" fillId="0" borderId="33" xfId="0" applyBorder="1" applyAlignment="1">
      <alignment/>
    </xf>
    <xf numFmtId="0" fontId="2" fillId="0" borderId="24"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12" fillId="2" borderId="3" xfId="0" applyFont="1" applyFill="1" applyBorder="1" applyAlignment="1" applyProtection="1">
      <alignment horizontal="center" shrinkToFit="1"/>
      <protection locked="0"/>
    </xf>
    <xf numFmtId="0" fontId="0" fillId="0" borderId="3" xfId="0" applyBorder="1" applyAlignment="1">
      <alignment/>
    </xf>
    <xf numFmtId="0" fontId="0" fillId="0" borderId="26" xfId="0" applyBorder="1" applyAlignment="1">
      <alignment/>
    </xf>
    <xf numFmtId="0" fontId="24" fillId="0" borderId="23" xfId="0" applyFont="1" applyFill="1" applyBorder="1" applyAlignment="1">
      <alignment horizontal="left" vertical="center" shrinkToFit="1"/>
    </xf>
    <xf numFmtId="0" fontId="0" fillId="0" borderId="24" xfId="0" applyBorder="1" applyAlignment="1">
      <alignment shrinkToFit="1"/>
    </xf>
    <xf numFmtId="0" fontId="27" fillId="2" borderId="1" xfId="0" applyFont="1" applyFill="1" applyBorder="1" applyAlignment="1">
      <alignment horizontal="left"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30" fillId="8" borderId="2" xfId="0" applyFont="1" applyFill="1" applyBorder="1" applyAlignment="1" applyProtection="1">
      <alignment horizontal="center" vertical="center" wrapText="1"/>
      <protection locked="0"/>
    </xf>
    <xf numFmtId="0" fontId="30" fillId="8" borderId="22" xfId="0" applyFont="1" applyFill="1" applyBorder="1" applyAlignment="1" applyProtection="1">
      <alignment horizontal="center" vertical="center" wrapText="1"/>
      <protection locked="0"/>
    </xf>
    <xf numFmtId="0" fontId="30" fillId="8" borderId="0" xfId="0" applyFont="1" applyFill="1" applyBorder="1" applyAlignment="1" applyProtection="1">
      <alignment horizontal="center" vertical="center" wrapText="1"/>
      <protection locked="0"/>
    </xf>
    <xf numFmtId="0" fontId="30" fillId="8" borderId="19" xfId="0" applyFont="1" applyFill="1" applyBorder="1" applyAlignment="1" applyProtection="1">
      <alignment horizontal="center" vertical="center" wrapText="1"/>
      <protection locked="0"/>
    </xf>
    <xf numFmtId="168" fontId="2" fillId="0" borderId="28" xfId="0" applyNumberFormat="1" applyFont="1" applyFill="1" applyBorder="1" applyAlignment="1">
      <alignment horizontal="center" vertical="center" shrinkToFit="1"/>
    </xf>
    <xf numFmtId="0" fontId="0" fillId="0" borderId="28" xfId="0" applyBorder="1" applyAlignment="1">
      <alignment shrinkToFit="1"/>
    </xf>
    <xf numFmtId="0" fontId="0" fillId="0" borderId="32" xfId="0" applyBorder="1" applyAlignment="1">
      <alignment shrinkToFit="1"/>
    </xf>
    <xf numFmtId="0" fontId="25" fillId="0" borderId="20" xfId="0" applyFont="1" applyBorder="1" applyAlignment="1">
      <alignment horizontal="center" shrinkToFit="1"/>
    </xf>
    <xf numFmtId="0" fontId="25" fillId="0" borderId="15" xfId="0" applyFont="1" applyBorder="1" applyAlignment="1">
      <alignment horizontal="center" shrinkToFit="1"/>
    </xf>
    <xf numFmtId="168" fontId="24" fillId="0" borderId="3" xfId="0" applyNumberFormat="1" applyFont="1" applyFill="1" applyBorder="1" applyAlignment="1">
      <alignment horizontal="center" vertical="center" shrinkToFit="1"/>
    </xf>
    <xf numFmtId="0" fontId="2" fillId="0" borderId="3" xfId="0" applyFont="1" applyBorder="1" applyAlignment="1">
      <alignment horizontal="center" shrinkToFit="1"/>
    </xf>
    <xf numFmtId="0" fontId="17" fillId="6" borderId="12" xfId="0" applyFont="1" applyFill="1" applyBorder="1" applyAlignment="1">
      <alignment horizontal="center"/>
    </xf>
    <xf numFmtId="0" fontId="17" fillId="6" borderId="29" xfId="0" applyFont="1" applyFill="1" applyBorder="1" applyAlignment="1">
      <alignment horizontal="center"/>
    </xf>
    <xf numFmtId="0" fontId="8" fillId="4" borderId="29" xfId="0" applyFont="1" applyFill="1" applyBorder="1" applyAlignment="1" applyProtection="1">
      <alignment horizontal="center" shrinkToFit="1"/>
      <protection locked="0"/>
    </xf>
    <xf numFmtId="0" fontId="33" fillId="6" borderId="65" xfId="0" applyFont="1" applyFill="1" applyBorder="1" applyAlignment="1">
      <alignment horizontal="center" shrinkToFit="1"/>
    </xf>
    <xf numFmtId="0" fontId="33" fillId="6" borderId="44" xfId="0" applyFont="1" applyFill="1" applyBorder="1" applyAlignment="1">
      <alignment horizontal="center" shrinkToFit="1"/>
    </xf>
  </cellXfs>
  <cellStyles count="6">
    <cellStyle name="Normal" xfId="0"/>
    <cellStyle name="Comma" xfId="15"/>
    <cellStyle name="Comma [0]" xfId="16"/>
    <cellStyle name="Currency" xfId="17"/>
    <cellStyle name="Currency [0]" xfId="18"/>
    <cellStyle name="Percent" xfId="19"/>
  </cellStyles>
  <dxfs count="11">
    <dxf>
      <font>
        <color rgb="FFFFFFFF"/>
      </font>
      <fill>
        <patternFill>
          <bgColor rgb="FFFFFFFF"/>
        </patternFill>
      </fill>
      <border>
        <left>
          <color rgb="FF000000"/>
        </left>
        <right>
          <color rgb="FF000000"/>
        </right>
        <bottom>
          <color rgb="FF000000"/>
        </bottom>
      </border>
    </dxf>
    <dxf>
      <fill>
        <patternFill>
          <bgColor rgb="FFFFFF99"/>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333333"/>
      </font>
      <fill>
        <patternFill>
          <bgColor rgb="FF333333"/>
        </patternFill>
      </fill>
      <border/>
    </dxf>
    <dxf>
      <font>
        <b val="0"/>
        <i val="0"/>
      </font>
      <border/>
    </dxf>
    <dxf>
      <font>
        <b/>
        <i val="0"/>
        <color rgb="FF800000"/>
      </font>
      <fill>
        <patternFill>
          <bgColor rgb="FFCCFFCC"/>
        </patternFill>
      </fill>
      <border>
        <left style="thin">
          <color rgb="FF000000"/>
        </left>
        <right style="thin">
          <color rgb="FF000000"/>
        </right>
        <top style="thin">
          <color rgb="FF000000"/>
        </top>
      </border>
    </dxf>
    <dxf>
      <font>
        <b/>
        <i val="0"/>
        <color rgb="FF800000"/>
      </font>
      <fill>
        <patternFill>
          <bgColor rgb="FFFFCC00"/>
        </patternFill>
      </fill>
      <border/>
    </dxf>
    <dxf>
      <font>
        <b/>
        <i val="0"/>
      </font>
      <border/>
    </dxf>
    <dxf>
      <border>
        <left>
          <color rgb="FF000000"/>
        </left>
        <right>
          <color rgb="FF000000"/>
        </right>
        <bottom>
          <color rgb="FF000000"/>
        </bottom>
      </border>
    </dxf>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obert%20(me)\My%20Documents\RPGs\SW\GM%20Aides\SWPC.RD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reate a PC"/>
      <sheetName val="Powers"/>
      <sheetName val="Looks&amp;Equip"/>
      <sheetName val="PC XP Advance"/>
      <sheetName val="Print PC"/>
      <sheetName val="SWES_Tent"/>
      <sheetName val="Custom Lists"/>
      <sheetName val="List"/>
      <sheetName val="LUP"/>
      <sheetName val="Armor &amp; Weapons"/>
    </sheetNames>
    <sheetDataSet>
      <sheetData sheetId="0">
        <row r="16">
          <cell r="P16">
            <v>22890</v>
          </cell>
        </row>
      </sheetData>
      <sheetData sheetId="1">
        <row r="2">
          <cell r="BH2">
            <v>10</v>
          </cell>
        </row>
        <row r="5">
          <cell r="U5">
            <v>4</v>
          </cell>
          <cell r="AA5" t="str">
            <v/>
          </cell>
        </row>
        <row r="6">
          <cell r="U6">
            <v>4</v>
          </cell>
        </row>
        <row r="7">
          <cell r="U7">
            <v>4</v>
          </cell>
        </row>
        <row r="8">
          <cell r="U8">
            <v>4</v>
          </cell>
        </row>
        <row r="9">
          <cell r="U9">
            <v>4</v>
          </cell>
        </row>
        <row r="18">
          <cell r="X18" t="str">
            <v/>
          </cell>
        </row>
      </sheetData>
      <sheetData sheetId="2">
        <row r="3">
          <cell r="AM3"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B57"/>
  <sheetViews>
    <sheetView showGridLines="0" tabSelected="1" workbookViewId="0" topLeftCell="A1">
      <selection activeCell="D2" sqref="D2:F2"/>
    </sheetView>
  </sheetViews>
  <sheetFormatPr defaultColWidth="9.140625" defaultRowHeight="16.5" customHeight="1"/>
  <cols>
    <col min="1" max="1" width="0.85546875" style="34" customWidth="1"/>
    <col min="2" max="7" width="8.57421875" style="34" customWidth="1"/>
    <col min="8" max="8" width="9.28125" style="34" customWidth="1"/>
    <col min="9" max="10" width="8.57421875" style="34" customWidth="1"/>
    <col min="11" max="11" width="11.00390625" style="34" customWidth="1"/>
    <col min="12" max="12" width="7.00390625" style="34" hidden="1" customWidth="1"/>
    <col min="13" max="13" width="9.421875" style="36" hidden="1" customWidth="1"/>
    <col min="14" max="14" width="3.7109375" style="36" hidden="1" customWidth="1"/>
    <col min="15" max="15" width="2.00390625" style="30" customWidth="1"/>
    <col min="16" max="19" width="9.140625" style="34" customWidth="1"/>
    <col min="20" max="20" width="1.28515625" style="34" customWidth="1"/>
    <col min="21" max="21" width="8.421875" style="30" customWidth="1"/>
    <col min="22" max="22" width="9.28125" style="34" customWidth="1"/>
    <col min="23" max="25" width="9.140625" style="34" customWidth="1"/>
    <col min="26" max="26" width="1.28515625" style="34" customWidth="1"/>
    <col min="27" max="27" width="2.00390625" style="34" customWidth="1"/>
    <col min="28" max="16384" width="9.140625" style="34" customWidth="1"/>
  </cols>
  <sheetData>
    <row r="1" spans="2:28" ht="21.75" customHeight="1" thickBot="1">
      <c r="B1" s="177" t="s">
        <v>226</v>
      </c>
      <c r="C1" s="178"/>
      <c r="D1" s="178"/>
      <c r="E1" s="178"/>
      <c r="F1" s="178"/>
      <c r="G1" s="178"/>
      <c r="H1" s="178"/>
      <c r="I1" s="178"/>
      <c r="J1" s="179"/>
      <c r="K1" s="62"/>
      <c r="L1" s="63"/>
      <c r="M1" s="63"/>
      <c r="N1" s="64"/>
      <c r="O1" s="61"/>
      <c r="P1" s="182" t="s">
        <v>66</v>
      </c>
      <c r="Q1" s="164"/>
      <c r="R1" s="31" t="s">
        <v>80</v>
      </c>
      <c r="S1" s="31" t="s">
        <v>192</v>
      </c>
      <c r="V1" s="164" t="s">
        <v>65</v>
      </c>
      <c r="W1" s="164"/>
      <c r="X1" s="138" t="s">
        <v>80</v>
      </c>
      <c r="Y1" s="31" t="s">
        <v>192</v>
      </c>
      <c r="AB1" s="133"/>
    </row>
    <row r="2" spans="2:28" s="50" customFormat="1" ht="13.5" customHeight="1" thickBot="1">
      <c r="B2" s="173" t="s">
        <v>51</v>
      </c>
      <c r="C2" s="174"/>
      <c r="D2" s="184"/>
      <c r="E2" s="184"/>
      <c r="F2" s="184"/>
      <c r="G2" s="174" t="s">
        <v>73</v>
      </c>
      <c r="H2" s="174"/>
      <c r="I2" s="184"/>
      <c r="J2" s="185"/>
      <c r="K2" s="65"/>
      <c r="L2" s="66">
        <f>IF(AND(ROW()-2&lt;MAXA(LUP!F2:F8),Bkg&gt;""),VLOOKUP(ROW()-1,LUP!F1:H8,3,),"")</f>
      </c>
      <c r="M2" s="66" t="str">
        <f>IF(MAXA(LUP!B:B)&gt;ROW()-2,VLOOKUP(ROW()-1,Lup1,2,),"")</f>
        <v>Associate</v>
      </c>
      <c r="N2" s="67"/>
      <c r="O2" s="68"/>
      <c r="P2" s="183" t="s">
        <v>194</v>
      </c>
      <c r="Q2" s="166" t="s">
        <v>193</v>
      </c>
      <c r="R2" s="32">
        <f>IF(COUNTIF($D$11:$I$11,P1)&gt;0,12+W32,9+W32)</f>
        <v>9</v>
      </c>
      <c r="S2" s="32">
        <f>R2-COUNTA(R4:S9)-SUM(O4:O9)</f>
        <v>9</v>
      </c>
      <c r="T2" s="34"/>
      <c r="U2" s="30"/>
      <c r="V2" s="165" t="s">
        <v>194</v>
      </c>
      <c r="W2" s="166" t="s">
        <v>193</v>
      </c>
      <c r="X2" s="139">
        <f>IF(COUNTIF($D$11:$I$11,V1)&gt;0,12+S32,9+S32)</f>
        <v>9</v>
      </c>
      <c r="Y2" s="32">
        <f>X2-COUNTA(X4:Y9)-SUM(T4:T9)</f>
        <v>9</v>
      </c>
      <c r="Z2" s="30"/>
      <c r="AA2" s="51"/>
      <c r="AB2" s="133"/>
    </row>
    <row r="3" spans="2:28" s="50" customFormat="1" ht="13.5" customHeight="1">
      <c r="B3" s="175" t="s">
        <v>52</v>
      </c>
      <c r="C3" s="176"/>
      <c r="D3" s="180"/>
      <c r="E3" s="180"/>
      <c r="F3" s="180"/>
      <c r="G3" s="176" t="s">
        <v>74</v>
      </c>
      <c r="H3" s="176"/>
      <c r="I3" s="180"/>
      <c r="J3" s="181"/>
      <c r="L3" s="52">
        <f>IF(AND(ROW()-2&lt;MAXA(LUP!F3:F10),Bkg&gt;""),VLOOKUP(ROW()-1,LUP!F2:H10,3,),"")</f>
      </c>
      <c r="M3" s="52" t="str">
        <f>IF(MAXA(LUP!B:B)&gt;ROW()-2,VLOOKUP(ROW()-1,Lup1,2,),"")</f>
        <v>Solider</v>
      </c>
      <c r="N3" s="53"/>
      <c r="O3" s="30"/>
      <c r="P3" s="165"/>
      <c r="Q3" s="166"/>
      <c r="R3" s="33" t="s">
        <v>195</v>
      </c>
      <c r="S3" s="33" t="s">
        <v>195</v>
      </c>
      <c r="T3" s="34"/>
      <c r="U3" s="46" t="s">
        <v>210</v>
      </c>
      <c r="V3" s="165"/>
      <c r="W3" s="166"/>
      <c r="X3" s="135" t="s">
        <v>195</v>
      </c>
      <c r="Y3" s="135" t="s">
        <v>195</v>
      </c>
      <c r="Z3" s="34"/>
      <c r="AA3" s="51"/>
      <c r="AB3" s="133"/>
    </row>
    <row r="4" spans="2:28" s="50" customFormat="1" ht="13.5" customHeight="1">
      <c r="B4" s="175" t="s">
        <v>53</v>
      </c>
      <c r="C4" s="176"/>
      <c r="D4" s="186"/>
      <c r="E4" s="187"/>
      <c r="F4" s="188"/>
      <c r="G4" s="176" t="s">
        <v>75</v>
      </c>
      <c r="H4" s="176"/>
      <c r="I4" s="180"/>
      <c r="J4" s="181"/>
      <c r="L4" s="52">
        <f>IF(AND(ROW()-2&lt;MAXA(LUP!F4:F11),Bkg&gt;""),VLOOKUP(ROW()-1,LUP!F3:H11,3,),"")</f>
      </c>
      <c r="M4" s="52" t="str">
        <f>IF(MAXA(LUP!B:B)&gt;ROW()-2,VLOOKUP(ROW()-1,Lup1,2,),"")</f>
        <v>Captain (Capo)</v>
      </c>
      <c r="N4" s="53"/>
      <c r="O4" s="30">
        <f>IF(P:P&lt;&gt;"",VLOOKUP(LEN(P:P),LUP!$J:$M,4,),"")</f>
      </c>
      <c r="P4" s="18"/>
      <c r="Q4" s="32" t="s">
        <v>27</v>
      </c>
      <c r="R4" s="19"/>
      <c r="S4" s="19"/>
      <c r="T4" s="34">
        <f>IF(V:V&lt;&gt;"",VLOOKUP(LEN(V:V),LUP!$J:$M,4,),"")</f>
      </c>
      <c r="U4" s="48">
        <v>3</v>
      </c>
      <c r="V4" s="18"/>
      <c r="W4" s="32" t="s">
        <v>55</v>
      </c>
      <c r="X4" s="136"/>
      <c r="Y4" s="137"/>
      <c r="Z4" s="34"/>
      <c r="AA4" s="51"/>
      <c r="AB4" s="133"/>
    </row>
    <row r="5" spans="2:28" s="50" customFormat="1" ht="13.5" customHeight="1">
      <c r="B5" s="175" t="s">
        <v>54</v>
      </c>
      <c r="C5" s="176"/>
      <c r="D5" s="180"/>
      <c r="E5" s="180"/>
      <c r="F5" s="180"/>
      <c r="G5" s="176" t="s">
        <v>76</v>
      </c>
      <c r="H5" s="176"/>
      <c r="I5" s="180"/>
      <c r="J5" s="181"/>
      <c r="L5" s="52">
        <f>IF(AND(ROW()-2&lt;MAXA(LUP!F5:F12),Bkg&gt;""),VLOOKUP(ROW()-1,LUP!F4:H12,3,),"")</f>
      </c>
      <c r="M5" s="52" t="str">
        <f>IF(MAXA(LUP!B:B)&gt;ROW()-2,VLOOKUP(ROW()-1,Lup1,2,),"")</f>
        <v>Consiglierre</v>
      </c>
      <c r="N5" s="53"/>
      <c r="O5" s="30">
        <f>IF(P:P&lt;&gt;"",VLOOKUP(LEN(P:P),LUP!$J:$M,4,),"")</f>
      </c>
      <c r="P5" s="18"/>
      <c r="Q5" s="32" t="s">
        <v>24</v>
      </c>
      <c r="R5" s="19"/>
      <c r="S5" s="19"/>
      <c r="T5" s="34">
        <f>IF(V:V&lt;&gt;"",VLOOKUP(LEN(V:V),LUP!$J:$M,4,),"")</f>
      </c>
      <c r="U5" s="48">
        <v>3</v>
      </c>
      <c r="V5" s="18"/>
      <c r="W5" s="32" t="s">
        <v>21</v>
      </c>
      <c r="X5" s="136"/>
      <c r="Y5" s="137"/>
      <c r="Z5" s="34"/>
      <c r="AA5" s="51"/>
      <c r="AB5" s="133"/>
    </row>
    <row r="6" spans="2:28" s="50" customFormat="1" ht="13.5" customHeight="1">
      <c r="B6" s="175" t="str">
        <f>IF(Genre="Terror Network"," Background:","Personality Type")</f>
        <v>Personality Type</v>
      </c>
      <c r="C6" s="176"/>
      <c r="D6" s="180"/>
      <c r="E6" s="180"/>
      <c r="F6" s="180"/>
      <c r="G6" s="176" t="s">
        <v>79</v>
      </c>
      <c r="H6" s="176"/>
      <c r="I6" s="180"/>
      <c r="J6" s="181"/>
      <c r="L6" s="52">
        <f>IF(AND(ROW()-2&lt;MAXA(LUP!F6:F13),Bkg&gt;""),VLOOKUP(ROW()-1,LUP!F5:H13,3,),"")</f>
      </c>
      <c r="M6" s="52" t="str">
        <f>IF(MAXA(LUP!B:B)&gt;ROW()-2,VLOOKUP(ROW()-1,Lup1,2,),"")</f>
        <v>Under Boss</v>
      </c>
      <c r="N6" s="53"/>
      <c r="O6" s="30">
        <f>IF(P:P&lt;&gt;"",VLOOKUP(LEN(P:P),LUP!$J:$M,4,),"")</f>
      </c>
      <c r="P6" s="18"/>
      <c r="Q6" s="32" t="s">
        <v>25</v>
      </c>
      <c r="R6" s="19"/>
      <c r="S6" s="19"/>
      <c r="T6" s="34">
        <f>IF(V:V&lt;&gt;"",VLOOKUP(LEN(V:V),LUP!$J:$M,4,),"")</f>
      </c>
      <c r="U6" s="48">
        <v>3</v>
      </c>
      <c r="V6" s="18"/>
      <c r="W6" s="32" t="s">
        <v>19</v>
      </c>
      <c r="X6" s="136"/>
      <c r="Y6" s="137"/>
      <c r="Z6" s="34"/>
      <c r="AA6" s="51"/>
      <c r="AB6" s="133"/>
    </row>
    <row r="7" spans="2:28" s="50" customFormat="1" ht="13.5" customHeight="1" thickBot="1">
      <c r="B7" s="206" t="str">
        <f>IF(Genre="Terror Network"," Agent Rank:","Family")</f>
        <v>Family</v>
      </c>
      <c r="C7" s="207"/>
      <c r="D7" s="195"/>
      <c r="E7" s="196"/>
      <c r="F7" s="197"/>
      <c r="G7" s="198" t="str">
        <f>IF(Genre="Terror Network","Codename"," Nickname:")</f>
        <v> Nickname:</v>
      </c>
      <c r="H7" s="198"/>
      <c r="I7" s="208"/>
      <c r="J7" s="209"/>
      <c r="L7" s="51">
        <f>IF(AND(ROW()-2&lt;MAXA(LUP!F7:F14),Bkg&gt;""),VLOOKUP(ROW()-1,LUP!F6:H14,3,),"")</f>
      </c>
      <c r="M7" s="52" t="str">
        <f>IF(MAXA(LUP!B:B)&gt;ROW()-2,VLOOKUP(ROW()-1,Lup1,2,),"")</f>
        <v>Boss</v>
      </c>
      <c r="N7" s="53"/>
      <c r="O7" s="30">
        <f>IF(P:P&lt;&gt;"",VLOOKUP(LEN(P:P),LUP!$J:$M,4,),"")</f>
      </c>
      <c r="P7" s="18"/>
      <c r="Q7" s="32" t="s">
        <v>23</v>
      </c>
      <c r="R7" s="19"/>
      <c r="S7" s="19"/>
      <c r="T7" s="34">
        <f>IF(V:V&lt;&gt;"",VLOOKUP(LEN(V:V),LUP!$J:$M,4,),"")</f>
      </c>
      <c r="U7" s="48">
        <v>3</v>
      </c>
      <c r="V7" s="18"/>
      <c r="W7" s="32" t="s">
        <v>18</v>
      </c>
      <c r="X7" s="136"/>
      <c r="Y7" s="137"/>
      <c r="Z7" s="34"/>
      <c r="AA7" s="51"/>
      <c r="AB7" s="133"/>
    </row>
    <row r="8" spans="2:28" ht="13.5" customHeight="1">
      <c r="B8" s="199" t="str">
        <f>IF(Genre="Terror Network","Title","Rank")</f>
        <v>Rank</v>
      </c>
      <c r="C8" s="200"/>
      <c r="D8" s="189">
        <f>IF(B9&gt;"",VLOOKUP(B9,Lup2,2,),"")</f>
      </c>
      <c r="E8" s="190"/>
      <c r="F8" s="190"/>
      <c r="G8" s="190"/>
      <c r="H8" s="190"/>
      <c r="I8" s="190"/>
      <c r="J8" s="190"/>
      <c r="K8" s="191"/>
      <c r="L8" s="30">
        <f>IF(AND(ROW()-2&lt;MAXA(LUP!F8:F15),Bkg&gt;""),VLOOKUP(ROW()-1,LUP!F7:H15,3,),"")</f>
      </c>
      <c r="M8" s="52" t="str">
        <f>IF(MAXA(LUP!B:B)&gt;ROW()-2,VLOOKUP(ROW()-1,Lup1,2,),"")</f>
        <v>Godfather (N/A)</v>
      </c>
      <c r="O8" s="30">
        <f>IF(P:P&lt;&gt;"",VLOOKUP(LEN(P:P),LUP!$J:$M,4,),"")</f>
      </c>
      <c r="P8" s="18"/>
      <c r="Q8" s="32" t="s">
        <v>26</v>
      </c>
      <c r="R8" s="19"/>
      <c r="S8" s="19"/>
      <c r="T8" s="34">
        <f>IF(V:V&lt;&gt;"",VLOOKUP(LEN(V:V),LUP!$J:$M,4,),"")</f>
      </c>
      <c r="U8" s="48">
        <v>6</v>
      </c>
      <c r="V8" s="18"/>
      <c r="W8" s="32" t="s">
        <v>22</v>
      </c>
      <c r="X8" s="136"/>
      <c r="Y8" s="137"/>
      <c r="AA8" s="30"/>
      <c r="AB8" s="133"/>
    </row>
    <row r="9" spans="2:28" ht="13.5" customHeight="1" thickBot="1">
      <c r="B9" s="201"/>
      <c r="C9" s="202"/>
      <c r="D9" s="192"/>
      <c r="E9" s="193"/>
      <c r="F9" s="193"/>
      <c r="G9" s="193"/>
      <c r="H9" s="193"/>
      <c r="I9" s="193"/>
      <c r="J9" s="193"/>
      <c r="K9" s="194"/>
      <c r="L9" s="35">
        <f>IF(AND(ROW()-2&lt;MAXA(LUP!F10:F16),Bkg&gt;""),VLOOKUP(ROW()-1,LUP!F8:H16,3,),"")</f>
      </c>
      <c r="M9" s="55">
        <f>IF(MAXA(LUP!B:B)&gt;ROW()-2,VLOOKUP(ROW()-1,Lup1,2,),"")</f>
      </c>
      <c r="O9" s="30">
        <f>IF(P:P&lt;&gt;"",VLOOKUP(LEN(P:P),LUP!$J:$M,4,),"")</f>
      </c>
      <c r="P9" s="18"/>
      <c r="Q9" s="32" t="s">
        <v>56</v>
      </c>
      <c r="R9" s="19"/>
      <c r="S9" s="19"/>
      <c r="T9" s="34">
        <f>IF(V:V&lt;&gt;"",VLOOKUP(LEN(V:V),LUP!$J:$M,4,),"")</f>
      </c>
      <c r="U9" s="48">
        <v>6</v>
      </c>
      <c r="V9" s="18"/>
      <c r="W9" s="32" t="s">
        <v>20</v>
      </c>
      <c r="X9" s="136"/>
      <c r="Y9" s="137"/>
      <c r="AA9" s="30"/>
      <c r="AB9" s="133"/>
    </row>
    <row r="10" spans="2:28" ht="13.5" customHeight="1" thickBot="1">
      <c r="B10" s="203" t="s">
        <v>78</v>
      </c>
      <c r="C10" s="204"/>
      <c r="D10" s="204"/>
      <c r="E10" s="204"/>
      <c r="F10" s="204"/>
      <c r="G10" s="204"/>
      <c r="H10" s="204"/>
      <c r="I10" s="204"/>
      <c r="J10" s="204"/>
      <c r="K10" s="205"/>
      <c r="L10" s="35">
        <f>IF(AND(ROW()-2&lt;MAXA(LUP!F11:F17),Bkg&gt;""),VLOOKUP(ROW()-1,LUP!F10:H17,3,),"")</f>
      </c>
      <c r="M10" s="55">
        <f>IF(MAXA(LUP!B:B)&gt;ROW()-2,VLOOKUP(ROW()-1,Lup1,2,),"")</f>
      </c>
      <c r="AB10" s="133"/>
    </row>
    <row r="11" spans="2:28" ht="15" customHeight="1" thickBot="1">
      <c r="B11" s="210" t="s">
        <v>77</v>
      </c>
      <c r="C11" s="211"/>
      <c r="D11" s="212">
        <f>IF(AND(Genre="Terror Network",Bkg&gt;""),VLOOKUP(Bkg,Lup1,4,),"")</f>
      </c>
      <c r="E11" s="212"/>
      <c r="F11" s="213"/>
      <c r="G11" s="214"/>
      <c r="H11" s="215"/>
      <c r="I11" s="213"/>
      <c r="J11" s="47" t="str">
        <f>IF(Genre="Terror Network"," CLOUT:","RESPECTABILITY:")</f>
        <v>RESPECTABILITY:</v>
      </c>
      <c r="K11" s="44"/>
      <c r="L11" s="35"/>
      <c r="M11" s="55">
        <f>IF(MAXA(LUP!B:B)&gt;ROW()-2,VLOOKUP(ROW()-1,Lup1,2,),"")</f>
      </c>
      <c r="P11" s="164" t="s">
        <v>67</v>
      </c>
      <c r="Q11" s="164"/>
      <c r="R11" s="31" t="s">
        <v>80</v>
      </c>
      <c r="S11" s="31" t="s">
        <v>192</v>
      </c>
      <c r="V11" s="164" t="s">
        <v>70</v>
      </c>
      <c r="W11" s="164"/>
      <c r="X11" s="31" t="s">
        <v>80</v>
      </c>
      <c r="Y11" s="31" t="s">
        <v>192</v>
      </c>
      <c r="AB11" s="133"/>
    </row>
    <row r="12" spans="7:28" ht="15" customHeight="1">
      <c r="G12" s="172">
        <f>IF(H22&lt;&gt;"","You get 1 free point in 2 of the Crime Skills listed","")</f>
      </c>
      <c r="H12" s="172"/>
      <c r="I12" s="172"/>
      <c r="J12" s="172"/>
      <c r="K12" s="172"/>
      <c r="L12" s="35"/>
      <c r="M12" s="55">
        <f>IF(MAXA(LUP!B:B)&gt;ROW()-2,VLOOKUP(ROW()-1,Lup1,2,),"")</f>
      </c>
      <c r="P12" s="165" t="s">
        <v>194</v>
      </c>
      <c r="Q12" s="166" t="s">
        <v>193</v>
      </c>
      <c r="R12" s="32">
        <f>IF(COUNTIF($D$11:$I$11,P11)&gt;0,12+X32,9+X32)</f>
        <v>9</v>
      </c>
      <c r="S12" s="32">
        <f>R12-COUNTA(R14:S19)-SUM(O13:O20)</f>
        <v>9</v>
      </c>
      <c r="V12" s="165" t="s">
        <v>194</v>
      </c>
      <c r="W12" s="166" t="s">
        <v>193</v>
      </c>
      <c r="X12" s="32">
        <f>IF(COUNTIF($D$11:$I$11,V11)&gt;0,12,9)</f>
        <v>9</v>
      </c>
      <c r="Y12" s="32">
        <f>X12-COUNTA(X14:Y19)-SUM(U14:U19)</f>
        <v>9</v>
      </c>
      <c r="AB12" s="133"/>
    </row>
    <row r="13" spans="2:28" ht="13.5" customHeight="1">
      <c r="B13" s="164" t="s">
        <v>71</v>
      </c>
      <c r="C13" s="164"/>
      <c r="D13" s="31" t="s">
        <v>80</v>
      </c>
      <c r="E13" s="31" t="s">
        <v>192</v>
      </c>
      <c r="G13" s="168" t="s">
        <v>69</v>
      </c>
      <c r="H13" s="169"/>
      <c r="I13" s="170"/>
      <c r="J13" s="31" t="s">
        <v>80</v>
      </c>
      <c r="K13" s="31" t="s">
        <v>192</v>
      </c>
      <c r="O13" s="30">
        <f>IF(P:P&lt;&gt;"",VLOOKUP(LEN(P:P),LUP!$J:$M,4,),"")</f>
      </c>
      <c r="P13" s="165"/>
      <c r="Q13" s="166"/>
      <c r="R13" s="33" t="s">
        <v>195</v>
      </c>
      <c r="S13" s="33" t="s">
        <v>195</v>
      </c>
      <c r="V13" s="165"/>
      <c r="W13" s="166"/>
      <c r="X13" s="33" t="s">
        <v>195</v>
      </c>
      <c r="Y13" s="33" t="s">
        <v>195</v>
      </c>
      <c r="AB13" s="133"/>
    </row>
    <row r="14" spans="2:28" ht="13.5" customHeight="1">
      <c r="B14" s="165" t="s">
        <v>194</v>
      </c>
      <c r="C14" s="166" t="s">
        <v>193</v>
      </c>
      <c r="D14" s="32">
        <f>IF(COUNTIF($D$11:$I$11,B13)&gt;0,12+U32,9+U32)</f>
        <v>9</v>
      </c>
      <c r="E14" s="32">
        <f>D14-COUNTA(D16:E21)-SUM(A16:A21)</f>
        <v>9</v>
      </c>
      <c r="G14" s="165" t="s">
        <v>194</v>
      </c>
      <c r="H14" s="166" t="s">
        <v>193</v>
      </c>
      <c r="I14" s="167" t="s">
        <v>199</v>
      </c>
      <c r="J14" s="32">
        <f>IF(COUNTIF($D$11:$I$11,G13)&gt;0,12+V32,9+V32)+X22</f>
        <v>9</v>
      </c>
      <c r="K14" s="32">
        <f>J14-COUNTA(J16:K21)-SUM(F16:F23)</f>
        <v>9</v>
      </c>
      <c r="O14" s="30">
        <f>IF(P:P&lt;&gt;"",VLOOKUP(LEN(P:P),LUP!$J:$M,4,),"")</f>
      </c>
      <c r="P14" s="18"/>
      <c r="Q14" s="32" t="s">
        <v>31</v>
      </c>
      <c r="R14" s="19"/>
      <c r="S14" s="54"/>
      <c r="V14" s="18"/>
      <c r="W14" s="32" t="s">
        <v>42</v>
      </c>
      <c r="X14" s="19"/>
      <c r="Y14" s="54"/>
      <c r="AB14" s="133"/>
    </row>
    <row r="15" spans="2:28" ht="13.5" customHeight="1">
      <c r="B15" s="165"/>
      <c r="C15" s="166"/>
      <c r="D15" s="33" t="s">
        <v>195</v>
      </c>
      <c r="E15" s="33" t="s">
        <v>195</v>
      </c>
      <c r="G15" s="165"/>
      <c r="H15" s="166">
        <v>2</v>
      </c>
      <c r="I15" s="167"/>
      <c r="J15" s="33" t="s">
        <v>195</v>
      </c>
      <c r="K15" s="33" t="s">
        <v>195</v>
      </c>
      <c r="O15" s="30">
        <f>IF(P:P&lt;&gt;"",VLOOKUP(LEN(P:P),LUP!$J:$M,4,),"")</f>
      </c>
      <c r="P15" s="18"/>
      <c r="Q15" s="32" t="s">
        <v>28</v>
      </c>
      <c r="R15" s="19"/>
      <c r="S15" s="54"/>
      <c r="V15" s="18"/>
      <c r="W15" s="32" t="s">
        <v>40</v>
      </c>
      <c r="X15" s="19"/>
      <c r="Y15" s="54"/>
      <c r="AB15" s="133"/>
    </row>
    <row r="16" spans="1:28" ht="13.5" customHeight="1">
      <c r="A16" s="30">
        <f>IF(B:B&lt;&gt;"",VLOOKUP(LEN(B:B),LUP!$J:$M,4,),"")</f>
      </c>
      <c r="B16" s="18"/>
      <c r="C16" s="32" t="s">
        <v>44</v>
      </c>
      <c r="D16" s="19"/>
      <c r="E16" s="54"/>
      <c r="F16" s="30">
        <f>IF(G:G&lt;&gt;"",VLOOKUP(LEN(G:G),LUP!$J:$M,4,),"")</f>
      </c>
      <c r="G16" s="18"/>
      <c r="H16" s="143">
        <v>2</v>
      </c>
      <c r="I16" s="20"/>
      <c r="J16" s="19"/>
      <c r="K16" s="54"/>
      <c r="O16" s="30">
        <f>IF(P:P&lt;&gt;"",VLOOKUP(LEN(P:P),LUP!$J:$M,4,),"")</f>
      </c>
      <c r="P16" s="18"/>
      <c r="Q16" s="32" t="str">
        <f>IF(Genre="Crime Network","Vehicle","Balance")</f>
        <v>Vehicle</v>
      </c>
      <c r="R16" s="19"/>
      <c r="S16" s="54"/>
      <c r="V16" s="18"/>
      <c r="W16" s="32" t="s">
        <v>63</v>
      </c>
      <c r="X16" s="19"/>
      <c r="Y16" s="54"/>
      <c r="AB16" s="133"/>
    </row>
    <row r="17" spans="1:28" ht="18.75" customHeight="1">
      <c r="A17" s="30">
        <f>IF(B:B&lt;&gt;"",VLOOKUP(LEN(B:B),LUP!$J:$M,4,),"")</f>
      </c>
      <c r="B17" s="18"/>
      <c r="C17" s="32" t="str">
        <f>IF(Genre="Crime Network","Finance","Forensics")</f>
        <v>Finance</v>
      </c>
      <c r="D17" s="19"/>
      <c r="E17" s="54"/>
      <c r="F17" s="30">
        <f>IF(G:G&lt;&gt;"",VLOOKUP(LEN(G:G),LUP!$J:$M,4,),"")</f>
      </c>
      <c r="G17" s="18"/>
      <c r="H17" s="143">
        <v>7</v>
      </c>
      <c r="I17" s="20"/>
      <c r="J17" s="19"/>
      <c r="K17" s="54"/>
      <c r="O17" s="30">
        <f>IF(P:P&lt;&gt;"",VLOOKUP(LEN(P:P),LUP!$J:$M,4,),"")</f>
      </c>
      <c r="P17" s="18"/>
      <c r="Q17" s="32" t="s">
        <v>30</v>
      </c>
      <c r="R17" s="19"/>
      <c r="S17" s="54"/>
      <c r="V17" s="18"/>
      <c r="W17" s="32" t="s">
        <v>64</v>
      </c>
      <c r="X17" s="19"/>
      <c r="Y17" s="54"/>
      <c r="AB17" s="133"/>
    </row>
    <row r="18" spans="1:28" ht="18.75" customHeight="1">
      <c r="A18" s="30">
        <f>IF(B:B&lt;&gt;"",VLOOKUP(LEN(B:B),LUP!$J:$M,4,),"")</f>
      </c>
      <c r="B18" s="18"/>
      <c r="C18" s="32" t="str">
        <f>IF(Genre="Crime Network","Electronics","Engineering")</f>
        <v>Electronics</v>
      </c>
      <c r="D18" s="19"/>
      <c r="E18" s="54"/>
      <c r="F18" s="30">
        <f>IF(G:G&lt;&gt;"",VLOOKUP(LEN(G:G),LUP!$J:$M,4,),"")</f>
      </c>
      <c r="G18" s="18"/>
      <c r="H18" s="143">
        <v>4</v>
      </c>
      <c r="I18" s="20"/>
      <c r="J18" s="19"/>
      <c r="K18" s="54"/>
      <c r="O18" s="30">
        <f>IF(P:P&lt;&gt;"",VLOOKUP(LEN(P:P),LUP!$J:$M,4,),"")</f>
      </c>
      <c r="P18" s="18"/>
      <c r="Q18" s="32" t="s">
        <v>32</v>
      </c>
      <c r="R18" s="19"/>
      <c r="S18" s="54"/>
      <c r="V18" s="18"/>
      <c r="W18" s="32" t="s">
        <v>43</v>
      </c>
      <c r="X18" s="19"/>
      <c r="Y18" s="54"/>
      <c r="AB18" s="133"/>
    </row>
    <row r="19" spans="1:28" ht="18.75" customHeight="1">
      <c r="A19" s="30">
        <f>IF(B:B&lt;&gt;"",VLOOKUP(LEN(B:B),LUP!$J:$M,4,),"")</f>
      </c>
      <c r="B19" s="18"/>
      <c r="C19" s="32" t="str">
        <f>IF(Genre="Crime Network","Mechanics","Intelligence")</f>
        <v>Mechanics</v>
      </c>
      <c r="D19" s="19"/>
      <c r="E19" s="54"/>
      <c r="F19" s="30">
        <f>IF(G:G&lt;&gt;"",VLOOKUP(LEN(G:G),LUP!$J:$M,4,),"")</f>
      </c>
      <c r="G19" s="18"/>
      <c r="H19" s="143">
        <v>5</v>
      </c>
      <c r="I19" s="20"/>
      <c r="J19" s="19"/>
      <c r="K19" s="54"/>
      <c r="O19" s="30">
        <f>IF(P:P&lt;&gt;"",VLOOKUP(LEN(P:P),LUP!$J:$M,4,),"")</f>
      </c>
      <c r="P19" s="18"/>
      <c r="Q19" s="32" t="str">
        <f>IF(Genre="Crime Network","Pilot","Swim")</f>
        <v>Pilot</v>
      </c>
      <c r="R19" s="19"/>
      <c r="S19" s="54"/>
      <c r="V19" s="18"/>
      <c r="W19" s="32" t="s">
        <v>41</v>
      </c>
      <c r="X19" s="19"/>
      <c r="Y19" s="54"/>
      <c r="AB19" s="133"/>
    </row>
    <row r="20" spans="1:11" ht="18.75" customHeight="1">
      <c r="A20" s="30">
        <f>IF(B:B&lt;&gt;"",VLOOKUP(LEN(B:B),LUP!$J:$M,4,),"")</f>
      </c>
      <c r="B20" s="18"/>
      <c r="C20" s="32" t="str">
        <f>IF(Genre="Crime Network","Security","Security Systems")</f>
        <v>Security</v>
      </c>
      <c r="D20" s="19"/>
      <c r="E20" s="54"/>
      <c r="F20" s="30">
        <f>IF(G:G&lt;&gt;"",VLOOKUP(LEN(G:G),LUP!$J:$M,4,),"")</f>
      </c>
      <c r="G20" s="144"/>
      <c r="H20" s="143">
        <v>5</v>
      </c>
      <c r="I20" s="20"/>
      <c r="J20" s="19"/>
      <c r="K20" s="54"/>
    </row>
    <row r="21" spans="1:23" ht="18.75" customHeight="1">
      <c r="A21" s="30">
        <f>IF(B:B&lt;&gt;"",VLOOKUP(LEN(B:B),LUP!$J:$M,4,),"")</f>
      </c>
      <c r="B21" s="18"/>
      <c r="C21" s="32" t="s">
        <v>198</v>
      </c>
      <c r="D21" s="19"/>
      <c r="E21" s="54"/>
      <c r="F21" s="30">
        <f>IF(G:G&lt;&gt;"",VLOOKUP(LEN(G:G),LUP!$J:$M,4,),"")</f>
      </c>
      <c r="G21" s="18"/>
      <c r="H21" s="143">
        <v>7</v>
      </c>
      <c r="I21" s="20"/>
      <c r="J21" s="19"/>
      <c r="K21" s="54"/>
      <c r="P21" s="164" t="s">
        <v>68</v>
      </c>
      <c r="Q21" s="164"/>
      <c r="R21" s="31" t="s">
        <v>80</v>
      </c>
      <c r="S21" s="31" t="s">
        <v>192</v>
      </c>
      <c r="U21" s="69"/>
      <c r="V21" s="70"/>
      <c r="W21" s="71"/>
    </row>
    <row r="22" spans="1:24" ht="12.75" customHeight="1">
      <c r="A22" s="133"/>
      <c r="B22" s="133"/>
      <c r="C22" s="133"/>
      <c r="D22" s="133"/>
      <c r="E22" s="133"/>
      <c r="F22" s="30">
        <f>IF(G:G&lt;&gt;"",VLOOKUP(LEN(G:G),LUP!$J:$M,4,)-1,"")</f>
      </c>
      <c r="G22" s="18"/>
      <c r="H22" s="171">
        <f>IF(AND(Agcy&gt;"",Genre="Crime Network"),VLOOKUP(Agcy,crime,2,),"")</f>
      </c>
      <c r="I22" s="171"/>
      <c r="J22" s="19"/>
      <c r="K22" s="54"/>
      <c r="M22" s="52">
        <f>IF(MAXA(LUP!B:B)&gt;ROW()-2,VLOOKUP(ROW()-1,Lup1,2,),"")</f>
      </c>
      <c r="P22" s="165" t="s">
        <v>194</v>
      </c>
      <c r="Q22" s="166" t="s">
        <v>193</v>
      </c>
      <c r="R22" s="32">
        <f>IF(COUNTIF($D$11:$I$11,P21)&gt;0,12+R32,9+R32)</f>
        <v>9</v>
      </c>
      <c r="S22" s="32">
        <f>R22-COUNTA(R24:S29)-SUM(O23:O28)</f>
        <v>9</v>
      </c>
      <c r="T22" s="30"/>
      <c r="U22" s="69"/>
      <c r="V22" s="70"/>
      <c r="W22" s="71"/>
      <c r="X22" s="56"/>
    </row>
    <row r="23" spans="1:23" ht="12.75" customHeight="1">
      <c r="A23" s="133"/>
      <c r="B23" s="133"/>
      <c r="C23" s="133"/>
      <c r="D23" s="133"/>
      <c r="E23" s="133"/>
      <c r="F23" s="30">
        <f>IF(G:G&lt;&gt;"",VLOOKUP(LEN(G:G),LUP!$J:$M,4,)-1,"")</f>
      </c>
      <c r="G23" s="18"/>
      <c r="H23" s="171">
        <f>IF(AND(Agcy&gt;"",Genre="Crime Network"),VLOOKUP(Agcy,crime,3,),"")</f>
      </c>
      <c r="I23" s="171"/>
      <c r="J23" s="19"/>
      <c r="K23" s="54"/>
      <c r="O23" s="30">
        <f>IF(P:P&lt;&gt;"",VLOOKUP(LEN(P:P),LUP!$J:$M,4,),"")</f>
      </c>
      <c r="P23" s="165"/>
      <c r="Q23" s="166"/>
      <c r="R23" s="33" t="s">
        <v>195</v>
      </c>
      <c r="S23" s="33" t="s">
        <v>195</v>
      </c>
      <c r="T23" s="30"/>
      <c r="U23" s="72"/>
      <c r="V23" s="73"/>
      <c r="W23" s="74"/>
    </row>
    <row r="24" spans="15:23" ht="12.75" customHeight="1">
      <c r="O24" s="30">
        <f>IF(P:P&lt;&gt;"",VLOOKUP(LEN(P:P),LUP!$J:$M,4,),"")</f>
      </c>
      <c r="P24" s="18"/>
      <c r="Q24" s="32" t="str">
        <f>IF(Genre="Crime Network","Bully","Interrogation")</f>
        <v>Bully</v>
      </c>
      <c r="R24" s="19"/>
      <c r="S24" s="54"/>
      <c r="T24" s="30">
        <f>IF(V:V&lt;&gt;"",VLOOKUP(LEN(V:V),LUP!$J:$M,4,),"")</f>
      </c>
      <c r="U24" s="72"/>
      <c r="V24" s="73"/>
      <c r="W24" s="74"/>
    </row>
    <row r="25" spans="2:23" ht="13.5" customHeight="1">
      <c r="B25" s="150" t="s">
        <v>207</v>
      </c>
      <c r="C25" s="150"/>
      <c r="D25" s="161" t="s">
        <v>51</v>
      </c>
      <c r="E25" s="161"/>
      <c r="F25" s="161" t="s">
        <v>208</v>
      </c>
      <c r="G25" s="161"/>
      <c r="H25" s="161"/>
      <c r="I25" s="161"/>
      <c r="J25" s="161"/>
      <c r="K25" s="161"/>
      <c r="O25" s="30">
        <f>IF(P:P&lt;&gt;"",VLOOKUP(LEN(P:P),LUP!$J:$M,4,),"")</f>
      </c>
      <c r="P25" s="18"/>
      <c r="Q25" s="32" t="str">
        <f>IF(Genre="Crime Network","Manipulation","Persuasion")</f>
        <v>Manipulation</v>
      </c>
      <c r="R25" s="19"/>
      <c r="S25" s="54"/>
      <c r="T25" s="30"/>
      <c r="U25" s="72"/>
      <c r="V25" s="73"/>
      <c r="W25" s="74"/>
    </row>
    <row r="26" spans="2:23" ht="13.5" customHeight="1" thickBot="1">
      <c r="B26" s="216">
        <f>IF(AND(Genre="Terror Network",Bkg&gt;""),Bkg,IF(AND(Genre="Crime Network",Bkg&gt;""),VLOOKUP(Bkg,Lup1,3,),""))</f>
      </c>
      <c r="C26" s="216"/>
      <c r="D26" s="162"/>
      <c r="E26" s="162"/>
      <c r="F26" s="162"/>
      <c r="G26" s="162"/>
      <c r="H26" s="162"/>
      <c r="I26" s="162"/>
      <c r="J26" s="162"/>
      <c r="K26" s="162"/>
      <c r="O26" s="30">
        <f>IF(P:P&lt;&gt;"",VLOOKUP(LEN(P:P),LUP!$J:$M,4,),"")</f>
      </c>
      <c r="P26" s="18"/>
      <c r="Q26" s="32" t="s">
        <v>39</v>
      </c>
      <c r="R26" s="19"/>
      <c r="S26" s="54"/>
      <c r="T26" s="30"/>
      <c r="U26" s="72"/>
      <c r="V26" s="73"/>
      <c r="W26" s="74"/>
    </row>
    <row r="27" spans="2:25" ht="13.5" customHeight="1">
      <c r="B27" s="217"/>
      <c r="C27" s="217"/>
      <c r="D27" s="162"/>
      <c r="E27" s="162"/>
      <c r="F27" s="162"/>
      <c r="G27" s="162"/>
      <c r="H27" s="162"/>
      <c r="I27" s="162"/>
      <c r="J27" s="162"/>
      <c r="K27" s="162"/>
      <c r="O27" s="30">
        <f>IF(P:P&lt;&gt;"",VLOOKUP(LEN(P:P),LUP!$J:$M,4,),"")</f>
      </c>
      <c r="P27" s="18"/>
      <c r="Q27" s="32" t="s">
        <v>37</v>
      </c>
      <c r="R27" s="19"/>
      <c r="S27" s="54"/>
      <c r="T27" s="30"/>
      <c r="U27" s="219" t="s">
        <v>252</v>
      </c>
      <c r="V27" s="220"/>
      <c r="W27" s="225" t="s">
        <v>253</v>
      </c>
      <c r="X27" s="225"/>
      <c r="Y27" s="226"/>
    </row>
    <row r="28" spans="2:25" ht="13.5" customHeight="1">
      <c r="B28" s="218"/>
      <c r="C28" s="218"/>
      <c r="D28" s="163"/>
      <c r="E28" s="163"/>
      <c r="F28" s="163"/>
      <c r="G28" s="163"/>
      <c r="H28" s="163"/>
      <c r="I28" s="163"/>
      <c r="J28" s="163"/>
      <c r="K28" s="163"/>
      <c r="O28" s="30">
        <f>IF(P:P&lt;&gt;"",VLOOKUP(LEN(P:P),LUP!$J:$M,4,),"")</f>
      </c>
      <c r="P28" s="18"/>
      <c r="Q28" s="32" t="str">
        <f>IF(Genre="Crime Network","Lying","Acting")</f>
        <v>Lying</v>
      </c>
      <c r="R28" s="19"/>
      <c r="S28" s="54"/>
      <c r="T28" s="30"/>
      <c r="U28" s="221"/>
      <c r="V28" s="222"/>
      <c r="W28" s="227"/>
      <c r="X28" s="227"/>
      <c r="Y28" s="228"/>
    </row>
    <row r="29" spans="16:25" ht="13.5" customHeight="1" thickBot="1">
      <c r="P29" s="18"/>
      <c r="Q29" s="32" t="s">
        <v>38</v>
      </c>
      <c r="R29" s="26"/>
      <c r="S29" s="57"/>
      <c r="T29" s="30"/>
      <c r="U29" s="223"/>
      <c r="V29" s="224"/>
      <c r="W29" s="229"/>
      <c r="X29" s="229"/>
      <c r="Y29" s="230"/>
    </row>
    <row r="30" spans="2:24" ht="13.5" customHeight="1">
      <c r="B30" s="150" t="s">
        <v>211</v>
      </c>
      <c r="C30" s="150"/>
      <c r="D30" s="37" t="s">
        <v>220</v>
      </c>
      <c r="E30" s="37" t="s">
        <v>212</v>
      </c>
      <c r="F30" s="37" t="s">
        <v>213</v>
      </c>
      <c r="G30" s="37" t="s">
        <v>214</v>
      </c>
      <c r="H30" s="37" t="s">
        <v>215</v>
      </c>
      <c r="J30" s="156" t="s">
        <v>256</v>
      </c>
      <c r="K30" s="157"/>
      <c r="M30" s="34"/>
      <c r="N30" s="34"/>
      <c r="R30" s="152" t="s">
        <v>255</v>
      </c>
      <c r="S30" s="153"/>
      <c r="T30" s="153"/>
      <c r="U30" s="154"/>
      <c r="V30" s="154"/>
      <c r="W30" s="154"/>
      <c r="X30" s="155"/>
    </row>
    <row r="31" spans="2:24" ht="13.5" customHeight="1">
      <c r="B31" s="151"/>
      <c r="C31" s="151"/>
      <c r="D31" s="32">
        <f>IF($B:$B&gt;"",VLOOKUP($B:$B,Lup1,3,),"")</f>
      </c>
      <c r="E31" s="32">
        <f>IF($B:$B&gt;"",VLOOKUP($B:$B,Lup1,5,),"")</f>
      </c>
      <c r="F31" s="32">
        <f>IF($B:$B&gt;"",VLOOKUP($B:$B,Lup1,6,),"")</f>
      </c>
      <c r="G31" s="32">
        <f>IF($B:$B&gt;"",VLOOKUP($B:$B,Lup1,4,),"")</f>
      </c>
      <c r="H31" s="32">
        <f>IF($B:$B&gt;"",VLOOKUP($B:$B,Lup1,2,),"")</f>
      </c>
      <c r="J31" s="78" t="s">
        <v>333</v>
      </c>
      <c r="K31" s="38"/>
      <c r="M31" s="34"/>
      <c r="N31" s="34"/>
      <c r="P31" s="158" t="s">
        <v>254</v>
      </c>
      <c r="Q31" s="159"/>
      <c r="R31" s="58" t="str">
        <f>P21</f>
        <v>MENTAL</v>
      </c>
      <c r="S31" s="58" t="str">
        <f>V1</f>
        <v>DEFENSES</v>
      </c>
      <c r="T31" s="59"/>
      <c r="U31" s="58" t="str">
        <f>B13</f>
        <v>SPECIALIST</v>
      </c>
      <c r="V31" s="58" t="str">
        <f>G13</f>
        <v>KNOWLEDGE</v>
      </c>
      <c r="W31" s="58" t="str">
        <f>P1</f>
        <v>COMBAT</v>
      </c>
      <c r="X31" s="58" t="str">
        <f>P11</f>
        <v>PHYSICAL</v>
      </c>
    </row>
    <row r="32" spans="2:24" ht="13.5" customHeight="1" thickBot="1">
      <c r="B32" s="151"/>
      <c r="C32" s="151"/>
      <c r="D32" s="32">
        <f>IF($B:$B&gt;"",VLOOKUP($B:$B,Lup1,3,),"")</f>
      </c>
      <c r="E32" s="32">
        <f>IF($B:$B&gt;"",VLOOKUP($B:$B,Lup1,5,),"")</f>
      </c>
      <c r="F32" s="32">
        <f>IF($B:$B&gt;"",VLOOKUP($B:$B,Lup1,6,),"")</f>
      </c>
      <c r="G32" s="32">
        <f>IF($B:$B&gt;"",VLOOKUP($B:$B,Lup1,4,),"")</f>
      </c>
      <c r="H32" s="32">
        <f>IF($B:$B&gt;"",VLOOKUP($B:$B,Lup1,2,),"")</f>
      </c>
      <c r="J32" s="78" t="s">
        <v>332</v>
      </c>
      <c r="K32" s="39"/>
      <c r="M32" s="34"/>
      <c r="N32" s="34"/>
      <c r="P32" s="160">
        <f>COUNTA(U28:U29)-SUM(R32:X32)</f>
        <v>0</v>
      </c>
      <c r="Q32" s="160"/>
      <c r="R32" s="26"/>
      <c r="S32" s="26"/>
      <c r="T32" s="131"/>
      <c r="U32" s="26"/>
      <c r="V32" s="26"/>
      <c r="W32" s="26"/>
      <c r="X32" s="132"/>
    </row>
    <row r="33" spans="2:24" ht="16.5" customHeight="1">
      <c r="B33" s="151"/>
      <c r="C33" s="151"/>
      <c r="D33" s="32">
        <f>IF($B:$B&gt;"",VLOOKUP($B:$B,Lup1,3,),"")</f>
      </c>
      <c r="E33" s="32">
        <f>IF($B:$B&gt;"",VLOOKUP($B:$B,Lup1,5,),"")</f>
      </c>
      <c r="F33" s="32">
        <f>IF($B:$B&gt;"",VLOOKUP($B:$B,Lup1,6,),"")</f>
      </c>
      <c r="G33" s="32">
        <f>IF($B:$B&gt;"",VLOOKUP($B:$B,Lup1,4,),"")</f>
      </c>
      <c r="H33" s="32">
        <f>IF($B:$B&gt;"",VLOOKUP($B:$B,Lup1,2,),"")</f>
      </c>
      <c r="J33" s="78" t="s">
        <v>258</v>
      </c>
      <c r="K33" s="77"/>
      <c r="M33" s="34"/>
      <c r="N33" s="34"/>
      <c r="P33" s="142" t="s">
        <v>389</v>
      </c>
      <c r="Q33" s="140"/>
      <c r="R33" s="145"/>
      <c r="S33" s="145"/>
      <c r="T33" s="145"/>
      <c r="U33" s="145"/>
      <c r="V33" s="145"/>
      <c r="W33" s="145"/>
      <c r="X33" s="146"/>
    </row>
    <row r="34" spans="10:24" ht="16.5" customHeight="1" thickBot="1">
      <c r="J34" s="75" t="s">
        <v>257</v>
      </c>
      <c r="K34" s="76"/>
      <c r="M34" s="34"/>
      <c r="N34" s="34"/>
      <c r="P34" s="148"/>
      <c r="Q34" s="149"/>
      <c r="R34" s="147"/>
      <c r="S34" s="147"/>
      <c r="T34" s="147"/>
      <c r="U34" s="147"/>
      <c r="V34" s="147"/>
      <c r="W34" s="147"/>
      <c r="X34" s="141"/>
    </row>
    <row r="35" spans="13:17" ht="16.5" customHeight="1">
      <c r="M35" s="34"/>
      <c r="N35" s="34"/>
      <c r="Q35" s="60"/>
    </row>
    <row r="36" spans="13:17" ht="16.5" customHeight="1">
      <c r="M36" s="34"/>
      <c r="N36" s="34"/>
      <c r="Q36" s="60"/>
    </row>
    <row r="37" spans="13:17" ht="16.5" customHeight="1">
      <c r="M37" s="34"/>
      <c r="N37" s="34"/>
      <c r="Q37" s="60"/>
    </row>
    <row r="38" spans="13:14" ht="16.5" customHeight="1">
      <c r="M38" s="34"/>
      <c r="N38" s="34"/>
    </row>
    <row r="39" spans="13:14" ht="16.5" customHeight="1">
      <c r="M39" s="34"/>
      <c r="N39" s="34"/>
    </row>
    <row r="40" spans="13:14" ht="16.5" customHeight="1">
      <c r="M40" s="34"/>
      <c r="N40" s="34"/>
    </row>
    <row r="41" spans="13:14" ht="16.5" customHeight="1">
      <c r="M41" s="34"/>
      <c r="N41" s="34"/>
    </row>
    <row r="42" spans="13:14" ht="16.5" customHeight="1">
      <c r="M42" s="34"/>
      <c r="N42" s="34"/>
    </row>
    <row r="44" spans="19:26" ht="16.5" customHeight="1">
      <c r="S44" s="36"/>
      <c r="T44" s="36"/>
      <c r="U44" s="40"/>
      <c r="V44" s="36"/>
      <c r="W44" s="36"/>
      <c r="X44" s="36"/>
      <c r="Z44" s="36"/>
    </row>
    <row r="45" spans="19:26" ht="16.5" customHeight="1">
      <c r="S45" s="36"/>
      <c r="T45" s="36"/>
      <c r="U45" s="40"/>
      <c r="V45" s="36"/>
      <c r="W45" s="36"/>
      <c r="X45" s="36"/>
      <c r="Z45" s="36"/>
    </row>
    <row r="46" spans="19:26" ht="16.5" customHeight="1">
      <c r="S46" s="36"/>
      <c r="T46" s="36"/>
      <c r="U46" s="40"/>
      <c r="V46" s="36"/>
      <c r="W46" s="36"/>
      <c r="X46" s="36"/>
      <c r="Z46" s="36"/>
    </row>
    <row r="47" spans="19:26" ht="16.5" customHeight="1">
      <c r="S47" s="36"/>
      <c r="T47" s="36"/>
      <c r="U47" s="40"/>
      <c r="V47" s="36"/>
      <c r="W47" s="36"/>
      <c r="X47" s="36"/>
      <c r="Z47" s="36"/>
    </row>
    <row r="48" spans="19:26" ht="16.5" customHeight="1">
      <c r="S48" s="36"/>
      <c r="T48" s="36"/>
      <c r="U48" s="40"/>
      <c r="V48" s="36"/>
      <c r="W48" s="36"/>
      <c r="X48" s="36"/>
      <c r="Z48" s="36"/>
    </row>
    <row r="49" spans="19:26" ht="16.5" customHeight="1">
      <c r="S49" s="36"/>
      <c r="T49" s="36"/>
      <c r="U49" s="40"/>
      <c r="V49" s="36"/>
      <c r="W49" s="36"/>
      <c r="X49" s="36"/>
      <c r="Y49" s="41"/>
      <c r="Z49" s="42"/>
    </row>
    <row r="50" spans="19:26" ht="16.5" customHeight="1">
      <c r="S50" s="36"/>
      <c r="T50" s="36"/>
      <c r="U50" s="40"/>
      <c r="V50" s="36"/>
      <c r="W50" s="36"/>
      <c r="X50" s="36"/>
      <c r="Z50" s="36"/>
    </row>
    <row r="51" spans="19:26" ht="16.5" customHeight="1">
      <c r="S51" s="36"/>
      <c r="T51" s="36"/>
      <c r="U51" s="43"/>
      <c r="V51" s="42"/>
      <c r="W51" s="36"/>
      <c r="X51" s="36"/>
      <c r="Z51" s="36"/>
    </row>
    <row r="52" spans="19:26" ht="16.5" customHeight="1">
      <c r="S52" s="36"/>
      <c r="T52" s="36"/>
      <c r="U52" s="40"/>
      <c r="V52" s="36"/>
      <c r="W52" s="36"/>
      <c r="X52" s="36"/>
      <c r="Z52" s="36"/>
    </row>
    <row r="53" spans="19:26" ht="16.5" customHeight="1">
      <c r="S53" s="36"/>
      <c r="T53" s="36"/>
      <c r="U53" s="40"/>
      <c r="V53" s="36"/>
      <c r="W53" s="36"/>
      <c r="X53" s="36"/>
      <c r="Z53" s="36"/>
    </row>
    <row r="54" spans="19:26" ht="16.5" customHeight="1">
      <c r="S54" s="36"/>
      <c r="T54" s="36"/>
      <c r="U54" s="40"/>
      <c r="V54" s="36"/>
      <c r="W54" s="36"/>
      <c r="X54" s="36"/>
      <c r="Z54" s="36"/>
    </row>
    <row r="55" spans="19:26" ht="16.5" customHeight="1">
      <c r="S55" s="36"/>
      <c r="T55" s="36"/>
      <c r="U55" s="40"/>
      <c r="V55" s="36"/>
      <c r="W55" s="36"/>
      <c r="X55" s="36"/>
      <c r="Z55" s="36"/>
    </row>
    <row r="56" spans="19:26" ht="16.5" customHeight="1">
      <c r="S56" s="36"/>
      <c r="T56" s="36"/>
      <c r="U56" s="40"/>
      <c r="V56" s="36"/>
      <c r="W56" s="36"/>
      <c r="X56" s="36"/>
      <c r="Z56" s="36"/>
    </row>
    <row r="57" spans="19:23" ht="16.5" customHeight="1">
      <c r="S57" s="36"/>
      <c r="T57" s="36"/>
      <c r="U57" s="40"/>
      <c r="V57" s="36"/>
      <c r="W57" s="36"/>
    </row>
  </sheetData>
  <sheetProtection sheet="1" objects="1" scenarios="1"/>
  <mergeCells count="86">
    <mergeCell ref="U27:V27"/>
    <mergeCell ref="U28:V28"/>
    <mergeCell ref="U29:V29"/>
    <mergeCell ref="W27:Y27"/>
    <mergeCell ref="W28:Y28"/>
    <mergeCell ref="W29:Y29"/>
    <mergeCell ref="B25:C25"/>
    <mergeCell ref="B26:C26"/>
    <mergeCell ref="B27:C27"/>
    <mergeCell ref="B28:C28"/>
    <mergeCell ref="B11:C11"/>
    <mergeCell ref="D11:E11"/>
    <mergeCell ref="F11:G11"/>
    <mergeCell ref="H11:I11"/>
    <mergeCell ref="B8:C8"/>
    <mergeCell ref="B9:C9"/>
    <mergeCell ref="B10:K10"/>
    <mergeCell ref="G4:H4"/>
    <mergeCell ref="G5:H5"/>
    <mergeCell ref="B5:C5"/>
    <mergeCell ref="B6:C6"/>
    <mergeCell ref="B7:C7"/>
    <mergeCell ref="I7:J7"/>
    <mergeCell ref="I4:J4"/>
    <mergeCell ref="D8:K9"/>
    <mergeCell ref="G3:H3"/>
    <mergeCell ref="D5:F5"/>
    <mergeCell ref="D6:F6"/>
    <mergeCell ref="G6:H6"/>
    <mergeCell ref="I5:J5"/>
    <mergeCell ref="D7:F7"/>
    <mergeCell ref="I6:J6"/>
    <mergeCell ref="G7:H7"/>
    <mergeCell ref="I2:J2"/>
    <mergeCell ref="B4:C4"/>
    <mergeCell ref="D2:F2"/>
    <mergeCell ref="D3:F3"/>
    <mergeCell ref="D4:F4"/>
    <mergeCell ref="G2:H2"/>
    <mergeCell ref="V1:W1"/>
    <mergeCell ref="V2:V3"/>
    <mergeCell ref="W2:W3"/>
    <mergeCell ref="B2:C2"/>
    <mergeCell ref="B3:C3"/>
    <mergeCell ref="B1:J1"/>
    <mergeCell ref="I3:J3"/>
    <mergeCell ref="P1:Q1"/>
    <mergeCell ref="P2:P3"/>
    <mergeCell ref="Q2:Q3"/>
    <mergeCell ref="P11:Q11"/>
    <mergeCell ref="P22:P23"/>
    <mergeCell ref="Q22:Q23"/>
    <mergeCell ref="H14:H15"/>
    <mergeCell ref="G13:I13"/>
    <mergeCell ref="P21:Q21"/>
    <mergeCell ref="H22:I22"/>
    <mergeCell ref="H23:I23"/>
    <mergeCell ref="G12:K12"/>
    <mergeCell ref="V11:W11"/>
    <mergeCell ref="V12:V13"/>
    <mergeCell ref="W12:W13"/>
    <mergeCell ref="C14:C15"/>
    <mergeCell ref="B13:C13"/>
    <mergeCell ref="B14:B15"/>
    <mergeCell ref="G14:G15"/>
    <mergeCell ref="I14:I15"/>
    <mergeCell ref="P12:P13"/>
    <mergeCell ref="Q12:Q13"/>
    <mergeCell ref="F25:K25"/>
    <mergeCell ref="F26:K26"/>
    <mergeCell ref="F27:K27"/>
    <mergeCell ref="F28:K28"/>
    <mergeCell ref="D25:E25"/>
    <mergeCell ref="D26:E26"/>
    <mergeCell ref="D27:E27"/>
    <mergeCell ref="D28:E28"/>
    <mergeCell ref="R33:X34"/>
    <mergeCell ref="P33:Q34"/>
    <mergeCell ref="B30:C30"/>
    <mergeCell ref="B31:C31"/>
    <mergeCell ref="B32:C32"/>
    <mergeCell ref="B33:C33"/>
    <mergeCell ref="R30:X30"/>
    <mergeCell ref="J30:K30"/>
    <mergeCell ref="P31:Q31"/>
    <mergeCell ref="P32:Q32"/>
  </mergeCells>
  <conditionalFormatting sqref="B28:K28">
    <cfRule type="expression" priority="1" dxfId="0" stopIfTrue="1">
      <formula>$B$1="Crime Network"</formula>
    </cfRule>
  </conditionalFormatting>
  <conditionalFormatting sqref="T32">
    <cfRule type="expression" priority="2" dxfId="1" stopIfTrue="1">
      <formula>R32&gt;""</formula>
    </cfRule>
    <cfRule type="expression" priority="3" dxfId="2" stopIfTrue="1">
      <formula>$B$1="Crime Network"</formula>
    </cfRule>
  </conditionalFormatting>
  <conditionalFormatting sqref="T31">
    <cfRule type="expression" priority="4" dxfId="1" stopIfTrue="1">
      <formula>N30&gt;""</formula>
    </cfRule>
    <cfRule type="expression" priority="5" dxfId="2" stopIfTrue="1">
      <formula>$B$1="Crime Network"</formula>
    </cfRule>
  </conditionalFormatting>
  <conditionalFormatting sqref="F11 H11:I11">
    <cfRule type="cellIs" priority="6" dxfId="3" operator="greaterThan" stopIfTrue="1">
      <formula>" "</formula>
    </cfRule>
  </conditionalFormatting>
  <conditionalFormatting sqref="B9:C9">
    <cfRule type="expression" priority="7" dxfId="3" stopIfTrue="1">
      <formula>$D$7=""</formula>
    </cfRule>
  </conditionalFormatting>
  <conditionalFormatting sqref="D11:E11">
    <cfRule type="cellIs" priority="8" dxfId="3" operator="greaterThan" stopIfTrue="1">
      <formula>" "</formula>
    </cfRule>
    <cfRule type="expression" priority="9" dxfId="4" stopIfTrue="1">
      <formula>Genre="Crime Network"</formula>
    </cfRule>
  </conditionalFormatting>
  <conditionalFormatting sqref="V11:Y19">
    <cfRule type="expression" priority="10" dxfId="2" stopIfTrue="1">
      <formula>Genre="Crime Network"</formula>
    </cfRule>
  </conditionalFormatting>
  <conditionalFormatting sqref="J11">
    <cfRule type="expression" priority="11" dxfId="5" stopIfTrue="1">
      <formula>LEN($J$11)&gt;7</formula>
    </cfRule>
  </conditionalFormatting>
  <conditionalFormatting sqref="G22:K22">
    <cfRule type="expression" priority="12" dxfId="0" stopIfTrue="1">
      <formula>$H22=""</formula>
    </cfRule>
  </conditionalFormatting>
  <conditionalFormatting sqref="G23 J23:K23">
    <cfRule type="expression" priority="13" dxfId="2" stopIfTrue="1">
      <formula>$H23=""</formula>
    </cfRule>
  </conditionalFormatting>
  <conditionalFormatting sqref="G12:K12">
    <cfRule type="cellIs" priority="14" dxfId="6" operator="greaterThan" stopIfTrue="1">
      <formula>" "</formula>
    </cfRule>
  </conditionalFormatting>
  <conditionalFormatting sqref="H23:I23">
    <cfRule type="expression" priority="15" dxfId="2" stopIfTrue="1">
      <formula>$H23=""</formula>
    </cfRule>
  </conditionalFormatting>
  <dataValidations count="9">
    <dataValidation type="list" allowBlank="1" showInputMessage="1" showErrorMessage="1" sqref="B31:C33">
      <formula1>Wpns</formula1>
    </dataValidation>
    <dataValidation type="list" allowBlank="1" showInputMessage="1" showErrorMessage="1" sqref="D7">
      <formula1>LAgcy</formula1>
    </dataValidation>
    <dataValidation type="list" allowBlank="1" showInputMessage="1" showErrorMessage="1" sqref="D5:F5">
      <formula1>"Male, Female"</formula1>
    </dataValidation>
    <dataValidation type="list" allowBlank="1" showInputMessage="1" showErrorMessage="1" sqref="D6:F6">
      <formula1>LBkg</formula1>
    </dataValidation>
    <dataValidation type="list" allowBlank="1" showInputMessage="1" showErrorMessage="1" sqref="F11 H11:I11">
      <formula1>$L$1:$L$11</formula1>
    </dataValidation>
    <dataValidation type="list" allowBlank="1" showInputMessage="1" showErrorMessage="1" sqref="B9:C9">
      <formula1>LRank</formula1>
    </dataValidation>
    <dataValidation type="list" allowBlank="1" showInputMessage="1" showErrorMessage="1" sqref="B1:J1">
      <formula1>"Crime Network, Terror Network"</formula1>
    </dataValidation>
    <dataValidation type="list" allowBlank="1" showInputMessage="1" showErrorMessage="1" sqref="U28:V29">
      <formula1>Shortcoming</formula1>
    </dataValidation>
    <dataValidation type="list" allowBlank="1" showInputMessage="1" showErrorMessage="1" sqref="H16:H21">
      <formula1>CnvTN</formula1>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BR47"/>
  <sheetViews>
    <sheetView showGridLines="0" workbookViewId="0" topLeftCell="A9">
      <selection activeCell="AC29" sqref="AC29:AG29"/>
    </sheetView>
  </sheetViews>
  <sheetFormatPr defaultColWidth="9.140625" defaultRowHeight="19.5" customHeight="1"/>
  <cols>
    <col min="1" max="1" width="0.9921875" style="49" customWidth="1"/>
    <col min="2" max="33" width="3.140625" style="49" customWidth="1"/>
    <col min="34" max="35" width="0.71875" style="49" customWidth="1"/>
    <col min="36" max="51" width="2.8515625" style="49" customWidth="1"/>
    <col min="52" max="16384" width="3.140625" style="49" customWidth="1"/>
  </cols>
  <sheetData>
    <row r="1" ht="5.25" customHeight="1" thickBot="1"/>
    <row r="2" spans="2:70" s="9" customFormat="1" ht="24" customHeight="1">
      <c r="B2" s="236" t="str">
        <f>IF(Name&gt;" ",CONCATENATE(Name,"   (",LEFT(Sex,1),")"),"Name:")</f>
        <v>Name:</v>
      </c>
      <c r="C2" s="236">
        <f>IF(DOB&gt;0,"DOB: ","")</f>
      </c>
      <c r="D2" s="270">
        <f>IF(Agcy&gt;" ",Agcy,"")</f>
      </c>
      <c r="F2" s="236">
        <f>IF(Title&gt;"",Title,"")</f>
      </c>
      <c r="H2" s="302" t="s">
        <v>195</v>
      </c>
      <c r="I2" s="231" t="str">
        <f>R15</f>
        <v>, </v>
      </c>
      <c r="J2" s="231" t="str">
        <f>R16</f>
        <v>, </v>
      </c>
      <c r="K2" s="231" t="str">
        <f>R17</f>
        <v>, </v>
      </c>
      <c r="L2" s="231" t="str">
        <f>R18</f>
        <v>, </v>
      </c>
      <c r="M2" s="231" t="str">
        <f>R19</f>
        <v>, </v>
      </c>
      <c r="N2" s="291" t="str">
        <f>R20</f>
        <v>, </v>
      </c>
      <c r="P2" s="236"/>
      <c r="AA2" s="293" t="s">
        <v>72</v>
      </c>
      <c r="AB2" s="294"/>
      <c r="AC2" s="294"/>
      <c r="AD2" s="294"/>
      <c r="AE2" s="294"/>
      <c r="AF2" s="294"/>
      <c r="AG2" s="295"/>
      <c r="AH2" s="49"/>
      <c r="AI2" s="49"/>
      <c r="AJ2" s="49"/>
      <c r="AK2" s="49"/>
      <c r="AL2" s="49"/>
      <c r="AN2" s="84"/>
      <c r="AO2" s="107"/>
      <c r="AP2" s="107"/>
      <c r="AQ2" s="107"/>
      <c r="AR2" s="107"/>
      <c r="AS2" s="107"/>
      <c r="AT2" s="107"/>
      <c r="AU2" s="107"/>
      <c r="AV2" s="8"/>
      <c r="AW2" s="8"/>
      <c r="AX2" s="8"/>
      <c r="AY2" s="85" t="s">
        <v>72</v>
      </c>
      <c r="AZ2" s="86"/>
      <c r="BA2" s="108">
        <f>IF(AY6&lt;&gt;"",CONCATENATE(VLOOKUP(Agcy,Lup1,3,),"-",VLOOKUP(Agcy,LUP!1:663,2,),"-",DOB,LEN(Name),LEN(BPlace)),"")</f>
      </c>
      <c r="BC2" s="290" t="str">
        <f>Create_PC!B1</f>
        <v>Crime Network</v>
      </c>
      <c r="BD2" s="290"/>
      <c r="BE2" s="290"/>
      <c r="BF2" s="290"/>
      <c r="BG2" s="290"/>
      <c r="BH2" s="290"/>
      <c r="BI2" s="290"/>
      <c r="BJ2" s="290"/>
      <c r="BK2" s="290"/>
      <c r="BL2" s="290"/>
      <c r="BM2" s="290"/>
      <c r="BN2" s="290"/>
      <c r="BO2" s="290"/>
      <c r="BP2" s="290"/>
      <c r="BQ2" s="290"/>
      <c r="BR2" s="290"/>
    </row>
    <row r="3" spans="2:70" s="9" customFormat="1" ht="24" customHeight="1">
      <c r="B3" s="236"/>
      <c r="C3" s="236"/>
      <c r="D3" s="270"/>
      <c r="F3" s="236"/>
      <c r="H3" s="233"/>
      <c r="I3" s="232"/>
      <c r="J3" s="232"/>
      <c r="K3" s="232"/>
      <c r="L3" s="232"/>
      <c r="M3" s="232"/>
      <c r="N3" s="292"/>
      <c r="P3" s="236"/>
      <c r="AA3" s="296"/>
      <c r="AB3" s="297"/>
      <c r="AC3" s="297"/>
      <c r="AD3" s="297"/>
      <c r="AE3" s="297"/>
      <c r="AF3" s="297"/>
      <c r="AG3" s="298"/>
      <c r="AH3" s="49"/>
      <c r="AI3" s="49"/>
      <c r="AJ3" s="49"/>
      <c r="AK3" s="49"/>
      <c r="AL3" s="49"/>
      <c r="AN3" s="13"/>
      <c r="AO3" s="14"/>
      <c r="AP3" s="14"/>
      <c r="AQ3" s="14"/>
      <c r="AR3" s="14"/>
      <c r="AS3" s="14"/>
      <c r="AT3" s="14"/>
      <c r="AU3" s="109"/>
      <c r="AV3" s="109"/>
      <c r="AW3" s="22"/>
      <c r="AX3" s="22"/>
      <c r="AY3" s="87"/>
      <c r="AZ3" s="88"/>
      <c r="BA3" s="110"/>
      <c r="BC3" s="16" t="str">
        <f>IF(Genre="Crime Network","Shortcomings:","Background, Notes")</f>
        <v>Shortcomings:</v>
      </c>
      <c r="BD3" s="17"/>
      <c r="BE3" s="17"/>
      <c r="BF3" s="17"/>
      <c r="BG3" s="17"/>
      <c r="BH3" s="17"/>
      <c r="BI3" s="305">
        <f>IF(Bkg&gt;"",Bkg,"")</f>
      </c>
      <c r="BJ3" s="305"/>
      <c r="BK3" s="305"/>
      <c r="BL3" s="305"/>
      <c r="BM3" s="305"/>
      <c r="BN3" s="305"/>
      <c r="BO3" s="305"/>
      <c r="BP3" s="305"/>
      <c r="BQ3" s="305"/>
      <c r="BR3" s="306"/>
    </row>
    <row r="4" spans="2:70" ht="24" customHeight="1">
      <c r="B4" s="236"/>
      <c r="C4" s="236"/>
      <c r="D4" s="270"/>
      <c r="F4" s="236"/>
      <c r="H4" s="233"/>
      <c r="I4" s="232"/>
      <c r="J4" s="232"/>
      <c r="K4" s="232"/>
      <c r="L4" s="232"/>
      <c r="M4" s="232"/>
      <c r="N4" s="292"/>
      <c r="P4" s="236"/>
      <c r="AA4" s="296"/>
      <c r="AB4" s="297"/>
      <c r="AC4" s="297"/>
      <c r="AD4" s="297"/>
      <c r="AE4" s="297"/>
      <c r="AF4" s="297"/>
      <c r="AG4" s="298"/>
      <c r="AN4" s="111"/>
      <c r="AO4" s="112">
        <f>IF(Agcy&gt;" ",Agcy,"")</f>
      </c>
      <c r="AP4" s="112"/>
      <c r="AQ4" s="112"/>
      <c r="AR4" s="112"/>
      <c r="AS4" s="112"/>
      <c r="AT4" s="112"/>
      <c r="AU4" s="112"/>
      <c r="AV4" s="112"/>
      <c r="AW4" s="113"/>
      <c r="AX4" s="114"/>
      <c r="AY4" s="115"/>
      <c r="AZ4" s="116"/>
      <c r="BA4" s="110"/>
      <c r="BC4" s="307" t="str">
        <f>CONCATENATE(IF(Create_PC!U28&gt;"",CONCATENATE(Create_PC!U28," - ",Create_PC!W28),""),"
       ",,IF(Create_PC!U29&gt;"",CONCATENATE(Create_PC!U29," - ",Create_PC!W29),""),"")</f>
        <v>
       </v>
      </c>
      <c r="BD4" s="308"/>
      <c r="BE4" s="308"/>
      <c r="BF4" s="308"/>
      <c r="BG4" s="308"/>
      <c r="BH4" s="308"/>
      <c r="BI4" s="308"/>
      <c r="BJ4" s="308"/>
      <c r="BK4" s="308"/>
      <c r="BL4" s="308"/>
      <c r="BM4" s="308"/>
      <c r="BN4" s="308"/>
      <c r="BO4" s="308"/>
      <c r="BP4" s="308"/>
      <c r="BQ4" s="308"/>
      <c r="BR4" s="309"/>
    </row>
    <row r="5" spans="2:70" s="9" customFormat="1" ht="15.75" customHeight="1">
      <c r="B5" s="236"/>
      <c r="C5" s="236"/>
      <c r="D5" s="270"/>
      <c r="F5" s="236"/>
      <c r="H5" s="233" t="s">
        <v>210</v>
      </c>
      <c r="I5" s="235">
        <f>P15</f>
      </c>
      <c r="J5" s="235">
        <f>P16</f>
      </c>
      <c r="K5" s="235">
        <f>P17</f>
      </c>
      <c r="L5" s="235">
        <f>P18</f>
      </c>
      <c r="M5" s="235">
        <f>P19</f>
      </c>
      <c r="N5" s="251">
        <f>P20</f>
      </c>
      <c r="P5" s="236"/>
      <c r="AA5" s="296"/>
      <c r="AB5" s="297"/>
      <c r="AC5" s="297"/>
      <c r="AD5" s="297"/>
      <c r="AE5" s="297"/>
      <c r="AF5" s="297"/>
      <c r="AG5" s="298"/>
      <c r="AH5" s="49"/>
      <c r="AI5" s="49"/>
      <c r="AJ5" s="49"/>
      <c r="AK5" s="49"/>
      <c r="AL5" s="49"/>
      <c r="AN5" s="89"/>
      <c r="AO5" s="117"/>
      <c r="AP5" s="117"/>
      <c r="AQ5" s="117"/>
      <c r="AR5" s="117"/>
      <c r="AS5" s="117"/>
      <c r="AT5" s="117"/>
      <c r="AU5" s="117"/>
      <c r="AV5" s="117"/>
      <c r="AW5" s="90">
        <f>IF(Ht&lt;&gt;"","  Ht: ","")</f>
      </c>
      <c r="AX5" s="90"/>
      <c r="AY5" s="90">
        <f>IF(Ht&lt;&gt;"",Ht,"")</f>
      </c>
      <c r="AZ5" s="91"/>
      <c r="BA5" s="110"/>
      <c r="BC5" s="307"/>
      <c r="BD5" s="308"/>
      <c r="BE5" s="308"/>
      <c r="BF5" s="308"/>
      <c r="BG5" s="308"/>
      <c r="BH5" s="308"/>
      <c r="BI5" s="308"/>
      <c r="BJ5" s="308"/>
      <c r="BK5" s="308"/>
      <c r="BL5" s="308"/>
      <c r="BM5" s="308"/>
      <c r="BN5" s="308"/>
      <c r="BO5" s="308"/>
      <c r="BP5" s="308"/>
      <c r="BQ5" s="308"/>
      <c r="BR5" s="309"/>
    </row>
    <row r="6" spans="2:70" s="9" customFormat="1" ht="15.75" customHeight="1">
      <c r="B6" s="236"/>
      <c r="C6" s="236"/>
      <c r="D6" s="270"/>
      <c r="F6" s="236"/>
      <c r="H6" s="233"/>
      <c r="I6" s="235"/>
      <c r="J6" s="235"/>
      <c r="K6" s="235"/>
      <c r="L6" s="235"/>
      <c r="M6" s="235"/>
      <c r="N6" s="251"/>
      <c r="P6" s="236"/>
      <c r="AA6" s="296"/>
      <c r="AB6" s="297"/>
      <c r="AC6" s="297"/>
      <c r="AD6" s="297"/>
      <c r="AE6" s="297"/>
      <c r="AF6" s="297"/>
      <c r="AG6" s="298"/>
      <c r="AH6" s="49"/>
      <c r="AI6" s="49"/>
      <c r="AJ6" s="49"/>
      <c r="AK6" s="49"/>
      <c r="AL6" s="49"/>
      <c r="AN6" s="81">
        <f>IF(DOB&gt;0,"DOB: ","")</f>
      </c>
      <c r="AO6" s="92">
        <f>IF(DOB&gt;0,DOB,"")</f>
      </c>
      <c r="AP6" s="92"/>
      <c r="AQ6" s="92"/>
      <c r="AR6" s="93">
        <f>IF(BPlace&gt;"",BPlace,"")</f>
      </c>
      <c r="AS6" s="93"/>
      <c r="AT6" s="93"/>
      <c r="AU6" s="93"/>
      <c r="AV6" s="10">
        <f>IF(Btype&gt;"",Btype,"")</f>
      </c>
      <c r="AW6" s="94">
        <f>IF(Wt&lt;&gt;"","  Wt: ","")</f>
      </c>
      <c r="AX6" s="94"/>
      <c r="AY6" s="94">
        <f>IF(Wt&lt;&gt;"",CONCATENATE(Wt," LBS"),"")</f>
      </c>
      <c r="AZ6" s="95"/>
      <c r="BA6" s="110"/>
      <c r="BC6" s="307"/>
      <c r="BD6" s="308"/>
      <c r="BE6" s="308"/>
      <c r="BF6" s="308"/>
      <c r="BG6" s="308"/>
      <c r="BH6" s="308"/>
      <c r="BI6" s="308"/>
      <c r="BJ6" s="308"/>
      <c r="BK6" s="308"/>
      <c r="BL6" s="308"/>
      <c r="BM6" s="308"/>
      <c r="BN6" s="308"/>
      <c r="BO6" s="308"/>
      <c r="BP6" s="308"/>
      <c r="BQ6" s="308"/>
      <c r="BR6" s="309"/>
    </row>
    <row r="7" spans="2:70" s="9" customFormat="1" ht="15.75" customHeight="1" thickBot="1">
      <c r="B7" s="236"/>
      <c r="C7" s="236"/>
      <c r="D7" s="270"/>
      <c r="F7" s="236"/>
      <c r="H7" s="233" t="s">
        <v>193</v>
      </c>
      <c r="I7" s="260" t="s">
        <v>55</v>
      </c>
      <c r="J7" s="260" t="s">
        <v>21</v>
      </c>
      <c r="K7" s="260" t="s">
        <v>19</v>
      </c>
      <c r="L7" s="260" t="s">
        <v>18</v>
      </c>
      <c r="M7" s="260" t="s">
        <v>22</v>
      </c>
      <c r="N7" s="303" t="s">
        <v>20</v>
      </c>
      <c r="P7" s="236"/>
      <c r="AA7" s="296"/>
      <c r="AB7" s="297"/>
      <c r="AC7" s="297"/>
      <c r="AD7" s="297"/>
      <c r="AE7" s="297"/>
      <c r="AF7" s="297"/>
      <c r="AG7" s="298"/>
      <c r="AH7" s="49"/>
      <c r="AI7" s="49"/>
      <c r="AJ7" s="49"/>
      <c r="AK7" s="49"/>
      <c r="AL7" s="49"/>
      <c r="AN7" s="96">
        <f>IF(Cname&gt;"",CONCATENATE(Create_PC!G7," ",Cname),"")</f>
      </c>
      <c r="AO7" s="97"/>
      <c r="AP7" s="97"/>
      <c r="AQ7" s="97"/>
      <c r="AR7" s="97"/>
      <c r="AS7" s="97"/>
      <c r="AT7" s="97"/>
      <c r="AU7" s="98">
        <f>IF(Hair&gt;"",CONCATENATE("Hair: ",Hair," Eyes: ",Eye),"")</f>
      </c>
      <c r="AV7" s="118"/>
      <c r="AW7" s="118"/>
      <c r="AX7" s="118"/>
      <c r="AY7" s="118"/>
      <c r="AZ7" s="119"/>
      <c r="BA7" s="120"/>
      <c r="BC7" s="310"/>
      <c r="BD7" s="311"/>
      <c r="BE7" s="311"/>
      <c r="BF7" s="311"/>
      <c r="BG7" s="311"/>
      <c r="BH7" s="311"/>
      <c r="BI7" s="311"/>
      <c r="BJ7" s="311"/>
      <c r="BK7" s="311"/>
      <c r="BL7" s="311"/>
      <c r="BM7" s="311"/>
      <c r="BN7" s="311"/>
      <c r="BO7" s="311"/>
      <c r="BP7" s="311"/>
      <c r="BQ7" s="311"/>
      <c r="BR7" s="312"/>
    </row>
    <row r="8" spans="2:70" s="9" customFormat="1" ht="15.75" customHeight="1">
      <c r="B8" s="236"/>
      <c r="C8" s="236"/>
      <c r="D8" s="270"/>
      <c r="F8" s="236"/>
      <c r="H8" s="233"/>
      <c r="I8" s="260"/>
      <c r="J8" s="260"/>
      <c r="K8" s="260"/>
      <c r="L8" s="260"/>
      <c r="M8" s="260"/>
      <c r="N8" s="303"/>
      <c r="P8" s="236"/>
      <c r="AA8" s="296"/>
      <c r="AB8" s="297"/>
      <c r="AC8" s="297"/>
      <c r="AD8" s="297"/>
      <c r="AE8" s="297"/>
      <c r="AF8" s="297"/>
      <c r="AG8" s="298"/>
      <c r="AH8" s="49"/>
      <c r="AI8" s="49"/>
      <c r="AJ8" s="49"/>
      <c r="AK8" s="49"/>
      <c r="AL8" s="49"/>
      <c r="AN8" s="82"/>
      <c r="AO8" s="82"/>
      <c r="AP8" s="82"/>
      <c r="AQ8" s="82"/>
      <c r="AR8" s="82"/>
      <c r="AS8" s="82"/>
      <c r="AT8" s="82"/>
      <c r="AU8" s="83"/>
      <c r="AV8" s="121"/>
      <c r="AW8" s="121"/>
      <c r="AX8" s="121"/>
      <c r="AY8" s="121"/>
      <c r="AZ8" s="121"/>
      <c r="BA8" s="122"/>
      <c r="BC8" s="80"/>
      <c r="BD8" s="80"/>
      <c r="BE8" s="80"/>
      <c r="BF8" s="80"/>
      <c r="BG8" s="80"/>
      <c r="BH8" s="80"/>
      <c r="BI8" s="80"/>
      <c r="BJ8" s="80"/>
      <c r="BK8" s="80"/>
      <c r="BL8" s="80"/>
      <c r="BM8" s="80"/>
      <c r="BN8" s="80"/>
      <c r="BO8" s="80"/>
      <c r="BP8" s="80"/>
      <c r="BQ8" s="80"/>
      <c r="BR8" s="80"/>
    </row>
    <row r="9" spans="2:70" s="9" customFormat="1" ht="15.75" customHeight="1">
      <c r="B9" s="236"/>
      <c r="C9" s="236"/>
      <c r="D9" s="270"/>
      <c r="F9" s="236"/>
      <c r="H9" s="233"/>
      <c r="I9" s="260"/>
      <c r="J9" s="260"/>
      <c r="K9" s="260"/>
      <c r="L9" s="260"/>
      <c r="M9" s="260"/>
      <c r="N9" s="303"/>
      <c r="P9" s="236"/>
      <c r="AA9" s="296"/>
      <c r="AB9" s="297"/>
      <c r="AC9" s="297"/>
      <c r="AD9" s="297"/>
      <c r="AE9" s="297"/>
      <c r="AF9" s="297"/>
      <c r="AG9" s="298"/>
      <c r="AH9" s="49"/>
      <c r="AI9" s="49"/>
      <c r="AJ9" s="49"/>
      <c r="AK9" s="49"/>
      <c r="AL9" s="49"/>
      <c r="AN9" s="82"/>
      <c r="AO9" s="82"/>
      <c r="AP9" s="82"/>
      <c r="AQ9" s="82"/>
      <c r="AR9" s="82"/>
      <c r="AS9" s="82"/>
      <c r="AT9" s="82"/>
      <c r="AU9" s="83"/>
      <c r="AV9" s="121"/>
      <c r="AW9" s="121"/>
      <c r="AX9" s="121"/>
      <c r="AY9" s="121"/>
      <c r="AZ9" s="121"/>
      <c r="BA9" s="122"/>
      <c r="BC9" s="80"/>
      <c r="BD9" s="80"/>
      <c r="BE9" s="80"/>
      <c r="BF9" s="80"/>
      <c r="BG9" s="80"/>
      <c r="BH9" s="80"/>
      <c r="BI9" s="80"/>
      <c r="BJ9" s="80"/>
      <c r="BK9" s="80"/>
      <c r="BL9" s="80"/>
      <c r="BM9" s="80"/>
      <c r="BN9" s="80"/>
      <c r="BO9" s="80"/>
      <c r="BP9" s="80"/>
      <c r="BQ9" s="80"/>
      <c r="BR9" s="80"/>
    </row>
    <row r="10" spans="2:70" s="9" customFormat="1" ht="15.75" customHeight="1" thickBot="1">
      <c r="B10" s="236"/>
      <c r="C10" s="236"/>
      <c r="D10" s="271"/>
      <c r="F10" s="236"/>
      <c r="H10" s="234"/>
      <c r="I10" s="261"/>
      <c r="J10" s="261"/>
      <c r="K10" s="261"/>
      <c r="L10" s="261"/>
      <c r="M10" s="261"/>
      <c r="N10" s="304"/>
      <c r="P10" s="236">
        <f>IF(Cname&gt;"",CONCATENATE(Create_PC!G7," ",Cname),"")</f>
      </c>
      <c r="AA10" s="299"/>
      <c r="AB10" s="300"/>
      <c r="AC10" s="300"/>
      <c r="AD10" s="300"/>
      <c r="AE10" s="300"/>
      <c r="AF10" s="300"/>
      <c r="AG10" s="301"/>
      <c r="AH10" s="49"/>
      <c r="AI10" s="49"/>
      <c r="AJ10" s="49"/>
      <c r="AK10" s="49"/>
      <c r="AL10" s="49"/>
      <c r="AN10" s="82"/>
      <c r="AO10" s="82"/>
      <c r="AP10" s="82"/>
      <c r="AQ10" s="82"/>
      <c r="AR10" s="82"/>
      <c r="AS10" s="82"/>
      <c r="AT10" s="82"/>
      <c r="AU10" s="83"/>
      <c r="AV10" s="121"/>
      <c r="AW10" s="121"/>
      <c r="AX10" s="121"/>
      <c r="AY10" s="121"/>
      <c r="AZ10" s="121"/>
      <c r="BA10" s="122"/>
      <c r="BC10" s="80"/>
      <c r="BD10" s="80"/>
      <c r="BE10" s="80"/>
      <c r="BF10" s="80"/>
      <c r="BG10" s="80"/>
      <c r="BH10" s="80"/>
      <c r="BI10" s="80"/>
      <c r="BJ10" s="80"/>
      <c r="BK10" s="80"/>
      <c r="BL10" s="80"/>
      <c r="BM10" s="80"/>
      <c r="BN10" s="80"/>
      <c r="BO10" s="80"/>
      <c r="BP10" s="80"/>
      <c r="BQ10" s="80"/>
      <c r="BR10" s="80"/>
    </row>
    <row r="11" spans="1:70" s="9" customFormat="1" ht="4.5" customHeight="1">
      <c r="A11" s="99"/>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123"/>
      <c r="AI11" s="49"/>
      <c r="AJ11" s="49"/>
      <c r="AK11" s="49"/>
      <c r="AL11" s="49"/>
      <c r="AN11" s="82"/>
      <c r="AO11" s="82"/>
      <c r="AP11" s="82"/>
      <c r="AQ11" s="82"/>
      <c r="AR11" s="82"/>
      <c r="AS11" s="82"/>
      <c r="AT11" s="82"/>
      <c r="AU11" s="83"/>
      <c r="AV11" s="121"/>
      <c r="AW11" s="121"/>
      <c r="AX11" s="121"/>
      <c r="AY11" s="121"/>
      <c r="AZ11" s="121"/>
      <c r="BA11" s="122"/>
      <c r="BC11" s="80"/>
      <c r="BD11" s="80"/>
      <c r="BE11" s="80"/>
      <c r="BF11" s="80"/>
      <c r="BG11" s="80"/>
      <c r="BH11" s="80"/>
      <c r="BI11" s="80"/>
      <c r="BJ11" s="80"/>
      <c r="BK11" s="80"/>
      <c r="BL11" s="80"/>
      <c r="BM11" s="80"/>
      <c r="BN11" s="80"/>
      <c r="BO11" s="80"/>
      <c r="BP11" s="80"/>
      <c r="BQ11" s="80"/>
      <c r="BR11" s="80"/>
    </row>
    <row r="12" ht="4.5" customHeight="1" thickBot="1"/>
    <row r="13" spans="2:33" ht="15" customHeight="1">
      <c r="B13" s="278" t="s">
        <v>66</v>
      </c>
      <c r="C13" s="279"/>
      <c r="D13" s="279"/>
      <c r="E13" s="279"/>
      <c r="F13" s="279"/>
      <c r="G13" s="279"/>
      <c r="H13" s="279"/>
      <c r="I13" s="279"/>
      <c r="J13" s="279"/>
      <c r="K13" s="280"/>
      <c r="M13" s="278" t="s">
        <v>65</v>
      </c>
      <c r="N13" s="279"/>
      <c r="O13" s="279"/>
      <c r="P13" s="279"/>
      <c r="Q13" s="279"/>
      <c r="R13" s="279"/>
      <c r="S13" s="279"/>
      <c r="T13" s="279"/>
      <c r="U13" s="279"/>
      <c r="V13" s="280"/>
      <c r="X13" s="278" t="s">
        <v>71</v>
      </c>
      <c r="Y13" s="279"/>
      <c r="Z13" s="279"/>
      <c r="AA13" s="279"/>
      <c r="AB13" s="279"/>
      <c r="AC13" s="279"/>
      <c r="AD13" s="279"/>
      <c r="AE13" s="279"/>
      <c r="AF13" s="279"/>
      <c r="AG13" s="280"/>
    </row>
    <row r="14" spans="2:33" ht="15" customHeight="1">
      <c r="B14" s="275" t="s">
        <v>193</v>
      </c>
      <c r="C14" s="276"/>
      <c r="D14" s="276"/>
      <c r="E14" s="273" t="s">
        <v>209</v>
      </c>
      <c r="F14" s="273"/>
      <c r="G14" s="273" t="s">
        <v>195</v>
      </c>
      <c r="H14" s="273"/>
      <c r="I14" s="273"/>
      <c r="J14" s="273"/>
      <c r="K14" s="274"/>
      <c r="M14" s="275" t="s">
        <v>193</v>
      </c>
      <c r="N14" s="276"/>
      <c r="O14" s="276"/>
      <c r="P14" s="273" t="s">
        <v>210</v>
      </c>
      <c r="Q14" s="273"/>
      <c r="R14" s="273" t="s">
        <v>195</v>
      </c>
      <c r="S14" s="273"/>
      <c r="T14" s="273"/>
      <c r="U14" s="273"/>
      <c r="V14" s="274"/>
      <c r="X14" s="275" t="s">
        <v>193</v>
      </c>
      <c r="Y14" s="276"/>
      <c r="Z14" s="276"/>
      <c r="AA14" s="273" t="s">
        <v>209</v>
      </c>
      <c r="AB14" s="273"/>
      <c r="AC14" s="273" t="s">
        <v>195</v>
      </c>
      <c r="AD14" s="273"/>
      <c r="AE14" s="273"/>
      <c r="AF14" s="273"/>
      <c r="AG14" s="274"/>
    </row>
    <row r="15" spans="2:33" ht="15" customHeight="1">
      <c r="B15" s="283" t="s">
        <v>27</v>
      </c>
      <c r="C15" s="259"/>
      <c r="D15" s="259"/>
      <c r="E15" s="240">
        <f>IF(Create_PC!P4&lt;&gt;"",LEN(Create_PC!P4),"")</f>
      </c>
      <c r="F15" s="240"/>
      <c r="G15" s="259" t="str">
        <f>CONCATENATE(Create_PC!R4,", ",Create_PC!S4)</f>
        <v>, </v>
      </c>
      <c r="H15" s="259"/>
      <c r="I15" s="259"/>
      <c r="J15" s="259"/>
      <c r="K15" s="288"/>
      <c r="M15" s="283" t="s">
        <v>55</v>
      </c>
      <c r="N15" s="259"/>
      <c r="O15" s="259"/>
      <c r="P15" s="289">
        <f>IF(Name&lt;&gt;"",SUM(3+LEN(Create_PC!V4)),"")</f>
      </c>
      <c r="Q15" s="289"/>
      <c r="R15" s="241" t="str">
        <f>CONCATENATE(Create_PC!X4,", ",Create_PC!Y4)</f>
        <v>, </v>
      </c>
      <c r="S15" s="241"/>
      <c r="T15" s="241"/>
      <c r="U15" s="241"/>
      <c r="V15" s="242"/>
      <c r="W15" s="124">
        <v>3</v>
      </c>
      <c r="X15" s="283" t="s">
        <v>44</v>
      </c>
      <c r="Y15" s="259"/>
      <c r="Z15" s="259"/>
      <c r="AA15" s="240">
        <f>IF(Create_PC!B16&lt;&gt;"",LEN(Create_PC!B16),"")</f>
      </c>
      <c r="AB15" s="240"/>
      <c r="AC15" s="241" t="str">
        <f>CONCATENATE(Create_PC!D16,", ",Create_PC!E16)</f>
        <v>, </v>
      </c>
      <c r="AD15" s="241"/>
      <c r="AE15" s="241"/>
      <c r="AF15" s="241"/>
      <c r="AG15" s="242"/>
    </row>
    <row r="16" spans="2:33" ht="15" customHeight="1">
      <c r="B16" s="283" t="s">
        <v>24</v>
      </c>
      <c r="C16" s="259"/>
      <c r="D16" s="259"/>
      <c r="E16" s="240">
        <f>IF(Create_PC!P5&lt;&gt;"",LEN(Create_PC!P5),"")</f>
      </c>
      <c r="F16" s="240"/>
      <c r="G16" s="259" t="str">
        <f>CONCATENATE(Create_PC!R5,", ",Create_PC!S5)</f>
        <v>, </v>
      </c>
      <c r="H16" s="259"/>
      <c r="I16" s="259"/>
      <c r="J16" s="259"/>
      <c r="K16" s="288"/>
      <c r="M16" s="283" t="s">
        <v>21</v>
      </c>
      <c r="N16" s="259"/>
      <c r="O16" s="259"/>
      <c r="P16" s="289">
        <f>IF(Name&lt;&gt;"",SUM(3+LEN(Create_PC!V5)),"")</f>
      </c>
      <c r="Q16" s="289"/>
      <c r="R16" s="241" t="str">
        <f>CONCATENATE(Create_PC!X5,", ",Create_PC!Y5)</f>
        <v>, </v>
      </c>
      <c r="S16" s="241"/>
      <c r="T16" s="241"/>
      <c r="U16" s="241"/>
      <c r="V16" s="242"/>
      <c r="W16" s="124">
        <v>3</v>
      </c>
      <c r="X16" s="283" t="s">
        <v>45</v>
      </c>
      <c r="Y16" s="259"/>
      <c r="Z16" s="259"/>
      <c r="AA16" s="240">
        <f>IF(Create_PC!B17&lt;&gt;"",LEN(Create_PC!B17),"")</f>
      </c>
      <c r="AB16" s="240"/>
      <c r="AC16" s="241" t="str">
        <f>CONCATENATE(Create_PC!D17,", ",Create_PC!E17)</f>
        <v>, </v>
      </c>
      <c r="AD16" s="241"/>
      <c r="AE16" s="241"/>
      <c r="AF16" s="241"/>
      <c r="AG16" s="242"/>
    </row>
    <row r="17" spans="2:37" ht="15" customHeight="1">
      <c r="B17" s="283" t="s">
        <v>25</v>
      </c>
      <c r="C17" s="259"/>
      <c r="D17" s="259"/>
      <c r="E17" s="240">
        <f>IF(Create_PC!P6&lt;&gt;"",LEN(Create_PC!P6),"")</f>
      </c>
      <c r="F17" s="240"/>
      <c r="G17" s="259" t="str">
        <f>CONCATENATE(Create_PC!R6,", ",Create_PC!S6)</f>
        <v>, </v>
      </c>
      <c r="H17" s="259"/>
      <c r="I17" s="259"/>
      <c r="J17" s="259"/>
      <c r="K17" s="288"/>
      <c r="M17" s="283" t="s">
        <v>19</v>
      </c>
      <c r="N17" s="259"/>
      <c r="O17" s="259"/>
      <c r="P17" s="289">
        <f>IF(Name&lt;&gt;"",SUM(3+LEN(Create_PC!V6)),"")</f>
      </c>
      <c r="Q17" s="289"/>
      <c r="R17" s="241" t="str">
        <f>CONCATENATE(Create_PC!X6,", ",Create_PC!Y6)</f>
        <v>, </v>
      </c>
      <c r="S17" s="241"/>
      <c r="T17" s="241"/>
      <c r="U17" s="241"/>
      <c r="V17" s="242"/>
      <c r="W17" s="124">
        <v>3</v>
      </c>
      <c r="X17" s="283" t="s">
        <v>46</v>
      </c>
      <c r="Y17" s="259"/>
      <c r="Z17" s="259"/>
      <c r="AA17" s="240">
        <f>IF(Create_PC!B18&lt;&gt;"",LEN(Create_PC!B18),"")</f>
      </c>
      <c r="AB17" s="240"/>
      <c r="AC17" s="241" t="str">
        <f>CONCATENATE(Create_PC!D18,", ",Create_PC!E18)</f>
        <v>, </v>
      </c>
      <c r="AD17" s="241"/>
      <c r="AE17" s="241"/>
      <c r="AF17" s="241"/>
      <c r="AG17" s="242"/>
      <c r="AK17" s="125">
        <f>Create_PC!K11</f>
        <v>0</v>
      </c>
    </row>
    <row r="18" spans="2:33" ht="15" customHeight="1">
      <c r="B18" s="283" t="s">
        <v>23</v>
      </c>
      <c r="C18" s="259"/>
      <c r="D18" s="259"/>
      <c r="E18" s="240">
        <f>IF(Create_PC!P7&lt;&gt;"",LEN(Create_PC!P7),"")</f>
      </c>
      <c r="F18" s="240"/>
      <c r="G18" s="259" t="str">
        <f>CONCATENATE(Create_PC!R7,", ",Create_PC!S7)</f>
        <v>, </v>
      </c>
      <c r="H18" s="259"/>
      <c r="I18" s="259"/>
      <c r="J18" s="259"/>
      <c r="K18" s="288"/>
      <c r="M18" s="283" t="s">
        <v>18</v>
      </c>
      <c r="N18" s="259"/>
      <c r="O18" s="259"/>
      <c r="P18" s="289">
        <f>IF(Name&lt;&gt;"",SUM(3+LEN(Create_PC!V7)),"")</f>
      </c>
      <c r="Q18" s="289"/>
      <c r="R18" s="241" t="str">
        <f>CONCATENATE(Create_PC!X7,", ",Create_PC!Y7)</f>
        <v>, </v>
      </c>
      <c r="S18" s="241"/>
      <c r="T18" s="241"/>
      <c r="U18" s="241"/>
      <c r="V18" s="242"/>
      <c r="W18" s="124">
        <v>3</v>
      </c>
      <c r="X18" s="283" t="s">
        <v>196</v>
      </c>
      <c r="Y18" s="259"/>
      <c r="Z18" s="259"/>
      <c r="AA18" s="240">
        <f>IF(Create_PC!B19&lt;&gt;"",LEN(Create_PC!B19),"")</f>
      </c>
      <c r="AB18" s="240"/>
      <c r="AC18" s="241" t="str">
        <f>CONCATENATE(Create_PC!D19,", ",Create_PC!E19)</f>
        <v>, </v>
      </c>
      <c r="AD18" s="241"/>
      <c r="AE18" s="241"/>
      <c r="AF18" s="241"/>
      <c r="AG18" s="242"/>
    </row>
    <row r="19" spans="2:33" ht="15" customHeight="1">
      <c r="B19" s="283" t="s">
        <v>26</v>
      </c>
      <c r="C19" s="259"/>
      <c r="D19" s="259"/>
      <c r="E19" s="240">
        <f>IF(Create_PC!P8&lt;&gt;"",LEN(Create_PC!P8),"")</f>
      </c>
      <c r="F19" s="240"/>
      <c r="G19" s="259" t="str">
        <f>CONCATENATE(Create_PC!R8,", ",Create_PC!S8)</f>
        <v>, </v>
      </c>
      <c r="H19" s="259"/>
      <c r="I19" s="259"/>
      <c r="J19" s="259"/>
      <c r="K19" s="288"/>
      <c r="M19" s="283" t="s">
        <v>22</v>
      </c>
      <c r="N19" s="259"/>
      <c r="O19" s="259"/>
      <c r="P19" s="289">
        <f>IF(Name&lt;&gt;"",SUM(6+LEN(Create_PC!V8)),"")</f>
      </c>
      <c r="Q19" s="289"/>
      <c r="R19" s="241" t="str">
        <f>CONCATENATE(Create_PC!X8,", ",Create_PC!Y8)</f>
        <v>, </v>
      </c>
      <c r="S19" s="241"/>
      <c r="T19" s="241"/>
      <c r="U19" s="241"/>
      <c r="V19" s="242"/>
      <c r="W19" s="124">
        <v>6</v>
      </c>
      <c r="X19" s="283" t="s">
        <v>197</v>
      </c>
      <c r="Y19" s="259"/>
      <c r="Z19" s="259"/>
      <c r="AA19" s="240">
        <f>IF(Create_PC!B20&lt;&gt;"",LEN(Create_PC!B20),"")</f>
      </c>
      <c r="AB19" s="240"/>
      <c r="AC19" s="241" t="str">
        <f>CONCATENATE(Create_PC!D20,", ",Create_PC!E20)</f>
        <v>, </v>
      </c>
      <c r="AD19" s="241"/>
      <c r="AE19" s="241"/>
      <c r="AF19" s="241"/>
      <c r="AG19" s="242"/>
    </row>
    <row r="20" spans="2:33" ht="15" customHeight="1" thickBot="1">
      <c r="B20" s="281" t="s">
        <v>56</v>
      </c>
      <c r="C20" s="282"/>
      <c r="D20" s="282"/>
      <c r="E20" s="240">
        <f>IF(Create_PC!P9&lt;&gt;"",LEN(Create_PC!P9),"")</f>
      </c>
      <c r="F20" s="240"/>
      <c r="G20" s="259" t="str">
        <f>CONCATENATE(Create_PC!R9,", ",Create_PC!S9)</f>
        <v>, </v>
      </c>
      <c r="H20" s="259"/>
      <c r="I20" s="259"/>
      <c r="J20" s="259"/>
      <c r="K20" s="288"/>
      <c r="M20" s="281" t="s">
        <v>20</v>
      </c>
      <c r="N20" s="282"/>
      <c r="O20" s="282"/>
      <c r="P20" s="287">
        <f>IF(Name&lt;&gt;"",SUM(6+LEN(Create_PC!V9)),"")</f>
      </c>
      <c r="Q20" s="287"/>
      <c r="R20" s="237" t="str">
        <f>CONCATENATE(Create_PC!X9,", ",Create_PC!Y9)</f>
        <v>, </v>
      </c>
      <c r="S20" s="237"/>
      <c r="T20" s="237"/>
      <c r="U20" s="237"/>
      <c r="V20" s="238"/>
      <c r="W20" s="124">
        <v>6</v>
      </c>
      <c r="X20" s="281" t="s">
        <v>198</v>
      </c>
      <c r="Y20" s="282"/>
      <c r="Z20" s="282"/>
      <c r="AA20" s="240">
        <f>IF(Create_PC!B21&lt;&gt;"",LEN(Create_PC!B21),"")</f>
      </c>
      <c r="AB20" s="240"/>
      <c r="AC20" s="241" t="str">
        <f>CONCATENATE(Create_PC!D21,", ",Create_PC!E21)</f>
        <v>, </v>
      </c>
      <c r="AD20" s="241"/>
      <c r="AE20" s="241"/>
      <c r="AF20" s="241"/>
      <c r="AG20" s="242"/>
    </row>
    <row r="21" ht="3.75" customHeight="1" thickBot="1"/>
    <row r="22" spans="2:33" ht="15" customHeight="1">
      <c r="B22" s="278" t="s">
        <v>67</v>
      </c>
      <c r="C22" s="279"/>
      <c r="D22" s="279"/>
      <c r="E22" s="279"/>
      <c r="F22" s="279"/>
      <c r="G22" s="279"/>
      <c r="H22" s="279"/>
      <c r="I22" s="279"/>
      <c r="J22" s="279"/>
      <c r="K22" s="280"/>
      <c r="M22" s="284" t="str">
        <f>IF(Genre="Terror Network","VEHICLE"," NOTES:  ")</f>
        <v> NOTES:  </v>
      </c>
      <c r="N22" s="285"/>
      <c r="O22" s="285"/>
      <c r="P22" s="285"/>
      <c r="Q22" s="285"/>
      <c r="R22" s="285"/>
      <c r="S22" s="285"/>
      <c r="T22" s="285"/>
      <c r="U22" s="285"/>
      <c r="V22" s="286"/>
      <c r="X22" s="278" t="s">
        <v>68</v>
      </c>
      <c r="Y22" s="279"/>
      <c r="Z22" s="279"/>
      <c r="AA22" s="279"/>
      <c r="AB22" s="279"/>
      <c r="AC22" s="279"/>
      <c r="AD22" s="279"/>
      <c r="AE22" s="279"/>
      <c r="AF22" s="279"/>
      <c r="AG22" s="280"/>
    </row>
    <row r="23" spans="2:42" ht="15" customHeight="1">
      <c r="B23" s="275" t="s">
        <v>193</v>
      </c>
      <c r="C23" s="276"/>
      <c r="D23" s="276"/>
      <c r="E23" s="273" t="s">
        <v>209</v>
      </c>
      <c r="F23" s="273"/>
      <c r="G23" s="273" t="s">
        <v>195</v>
      </c>
      <c r="H23" s="273"/>
      <c r="I23" s="273"/>
      <c r="J23" s="273"/>
      <c r="K23" s="274"/>
      <c r="M23" s="275" t="s">
        <v>193</v>
      </c>
      <c r="N23" s="276"/>
      <c r="O23" s="276"/>
      <c r="P23" s="273" t="s">
        <v>209</v>
      </c>
      <c r="Q23" s="273"/>
      <c r="R23" s="273" t="s">
        <v>195</v>
      </c>
      <c r="S23" s="273"/>
      <c r="T23" s="273"/>
      <c r="U23" s="273"/>
      <c r="V23" s="274"/>
      <c r="X23" s="275" t="s">
        <v>193</v>
      </c>
      <c r="Y23" s="276"/>
      <c r="Z23" s="276"/>
      <c r="AA23" s="273" t="s">
        <v>209</v>
      </c>
      <c r="AB23" s="273"/>
      <c r="AC23" s="273" t="s">
        <v>195</v>
      </c>
      <c r="AD23" s="273"/>
      <c r="AE23" s="273"/>
      <c r="AF23" s="273"/>
      <c r="AG23" s="274"/>
      <c r="AP23" s="126"/>
    </row>
    <row r="24" spans="2:33" ht="15" customHeight="1">
      <c r="B24" s="283" t="s">
        <v>31</v>
      </c>
      <c r="C24" s="259"/>
      <c r="D24" s="259"/>
      <c r="E24" s="240">
        <f>IF(Create_PC!P14&lt;&gt;"",LEN(Create_PC!P14),"")</f>
      </c>
      <c r="F24" s="240"/>
      <c r="G24" s="241" t="str">
        <f>CONCATENATE(Create_PC!R14,", ",Create_PC!S14)</f>
        <v>, </v>
      </c>
      <c r="H24" s="241"/>
      <c r="I24" s="241"/>
      <c r="J24" s="241"/>
      <c r="K24" s="242"/>
      <c r="M24" s="283" t="s">
        <v>42</v>
      </c>
      <c r="N24" s="259"/>
      <c r="O24" s="259"/>
      <c r="P24" s="240">
        <f>IF(Create_PC!V14&lt;&gt;"",LEN(Create_PC!V14),"")</f>
      </c>
      <c r="Q24" s="240"/>
      <c r="R24" s="241" t="str">
        <f>CONCATENATE(Create_PC!X14,", ",Create_PC!Y14)</f>
        <v>, </v>
      </c>
      <c r="S24" s="241"/>
      <c r="T24" s="241"/>
      <c r="U24" s="241"/>
      <c r="V24" s="242"/>
      <c r="X24" s="283" t="s">
        <v>35</v>
      </c>
      <c r="Y24" s="259"/>
      <c r="Z24" s="259"/>
      <c r="AA24" s="240">
        <f>IF(Create_PC!P24&lt;&gt;"",LEN(Create_PC!P24),"")</f>
      </c>
      <c r="AB24" s="240"/>
      <c r="AC24" s="241" t="str">
        <f>CONCATENATE(Create_PC!R24,", ",Create_PC!S24)</f>
        <v>, </v>
      </c>
      <c r="AD24" s="241"/>
      <c r="AE24" s="241"/>
      <c r="AF24" s="241"/>
      <c r="AG24" s="242"/>
    </row>
    <row r="25" spans="2:33" ht="15" customHeight="1">
      <c r="B25" s="283" t="s">
        <v>28</v>
      </c>
      <c r="C25" s="259"/>
      <c r="D25" s="259"/>
      <c r="E25" s="240">
        <f>IF(Create_PC!P15&lt;&gt;"",LEN(Create_PC!P15),"")</f>
      </c>
      <c r="F25" s="240"/>
      <c r="G25" s="241" t="str">
        <f>CONCATENATE(Create_PC!R15,", ",Create_PC!S15)</f>
        <v>, </v>
      </c>
      <c r="H25" s="241"/>
      <c r="I25" s="241"/>
      <c r="J25" s="241"/>
      <c r="K25" s="242"/>
      <c r="M25" s="283" t="s">
        <v>40</v>
      </c>
      <c r="N25" s="259"/>
      <c r="O25" s="259"/>
      <c r="P25" s="240">
        <f>IF(Create_PC!V15&lt;&gt;"",LEN(Create_PC!V15),"")</f>
      </c>
      <c r="Q25" s="240"/>
      <c r="R25" s="241" t="str">
        <f>CONCATENATE(Create_PC!X15,", ",Create_PC!Y15)</f>
        <v>, </v>
      </c>
      <c r="S25" s="241"/>
      <c r="T25" s="241"/>
      <c r="U25" s="241"/>
      <c r="V25" s="242"/>
      <c r="X25" s="283" t="s">
        <v>34</v>
      </c>
      <c r="Y25" s="259"/>
      <c r="Z25" s="259"/>
      <c r="AA25" s="240">
        <f>IF(Create_PC!P25&lt;&gt;"",LEN(Create_PC!P25),"")</f>
      </c>
      <c r="AB25" s="240"/>
      <c r="AC25" s="241" t="str">
        <f>CONCATENATE(Create_PC!R25,", ",Create_PC!S25)</f>
        <v>, </v>
      </c>
      <c r="AD25" s="241"/>
      <c r="AE25" s="241"/>
      <c r="AF25" s="241"/>
      <c r="AG25" s="242"/>
    </row>
    <row r="26" spans="2:33" ht="15" customHeight="1">
      <c r="B26" s="283" t="s">
        <v>29</v>
      </c>
      <c r="C26" s="259"/>
      <c r="D26" s="259"/>
      <c r="E26" s="240">
        <f>IF(Create_PC!P16&lt;&gt;"",LEN(Create_PC!P16),"")</f>
      </c>
      <c r="F26" s="240"/>
      <c r="G26" s="241" t="str">
        <f>CONCATENATE(Create_PC!R16,", ",Create_PC!S16)</f>
        <v>, </v>
      </c>
      <c r="H26" s="241"/>
      <c r="I26" s="241"/>
      <c r="J26" s="241"/>
      <c r="K26" s="242"/>
      <c r="M26" s="283" t="s">
        <v>63</v>
      </c>
      <c r="N26" s="259"/>
      <c r="O26" s="259"/>
      <c r="P26" s="240">
        <f>IF(Create_PC!V16&lt;&gt;"",LEN(Create_PC!V16),"")</f>
      </c>
      <c r="Q26" s="240"/>
      <c r="R26" s="241" t="str">
        <f>CONCATENATE(Create_PC!X16,", ",Create_PC!Y16)</f>
        <v>, </v>
      </c>
      <c r="S26" s="241"/>
      <c r="T26" s="241"/>
      <c r="U26" s="241"/>
      <c r="V26" s="242"/>
      <c r="X26" s="283" t="s">
        <v>39</v>
      </c>
      <c r="Y26" s="259"/>
      <c r="Z26" s="259"/>
      <c r="AA26" s="240">
        <f>IF(Create_PC!P26&lt;&gt;"",LEN(Create_PC!P26),"")</f>
      </c>
      <c r="AB26" s="240"/>
      <c r="AC26" s="241" t="str">
        <f>CONCATENATE(Create_PC!R26,", ",Create_PC!S26)</f>
        <v>, </v>
      </c>
      <c r="AD26" s="241"/>
      <c r="AE26" s="241"/>
      <c r="AF26" s="241"/>
      <c r="AG26" s="242"/>
    </row>
    <row r="27" spans="2:33" ht="15" customHeight="1">
      <c r="B27" s="283" t="s">
        <v>30</v>
      </c>
      <c r="C27" s="259"/>
      <c r="D27" s="259"/>
      <c r="E27" s="240">
        <f>IF(Create_PC!P17&lt;&gt;"",LEN(Create_PC!P17),"")</f>
      </c>
      <c r="F27" s="240"/>
      <c r="G27" s="241" t="str">
        <f>CONCATENATE(Create_PC!R17,", ",Create_PC!S17)</f>
        <v>, </v>
      </c>
      <c r="H27" s="241"/>
      <c r="I27" s="241"/>
      <c r="J27" s="241"/>
      <c r="K27" s="242"/>
      <c r="M27" s="283" t="s">
        <v>64</v>
      </c>
      <c r="N27" s="259"/>
      <c r="O27" s="259"/>
      <c r="P27" s="240">
        <f>IF(Create_PC!V17&lt;&gt;"",LEN(Create_PC!V17),"")</f>
      </c>
      <c r="Q27" s="240"/>
      <c r="R27" s="241" t="str">
        <f>CONCATENATE(Create_PC!X17,", ",Create_PC!Y17)</f>
        <v>, </v>
      </c>
      <c r="S27" s="241"/>
      <c r="T27" s="241"/>
      <c r="U27" s="241"/>
      <c r="V27" s="242"/>
      <c r="X27" s="283" t="s">
        <v>37</v>
      </c>
      <c r="Y27" s="259"/>
      <c r="Z27" s="259"/>
      <c r="AA27" s="240">
        <f>IF(Create_PC!P27&lt;&gt;"",LEN(Create_PC!P27),"")</f>
      </c>
      <c r="AB27" s="240"/>
      <c r="AC27" s="241" t="str">
        <f>CONCATENATE(Create_PC!R27,", ",Create_PC!S27)</f>
        <v>, </v>
      </c>
      <c r="AD27" s="241"/>
      <c r="AE27" s="241"/>
      <c r="AF27" s="241"/>
      <c r="AG27" s="242"/>
    </row>
    <row r="28" spans="2:33" ht="15" customHeight="1">
      <c r="B28" s="283" t="s">
        <v>32</v>
      </c>
      <c r="C28" s="259"/>
      <c r="D28" s="259"/>
      <c r="E28" s="240">
        <f>IF(Create_PC!P18&lt;&gt;"",LEN(Create_PC!P18),"")</f>
      </c>
      <c r="F28" s="240"/>
      <c r="G28" s="241" t="str">
        <f>CONCATENATE(Create_PC!R18,", ",Create_PC!S18)</f>
        <v>, </v>
      </c>
      <c r="H28" s="241"/>
      <c r="I28" s="241"/>
      <c r="J28" s="241"/>
      <c r="K28" s="242"/>
      <c r="M28" s="283" t="s">
        <v>43</v>
      </c>
      <c r="N28" s="259"/>
      <c r="O28" s="259"/>
      <c r="P28" s="240">
        <f>IF(Create_PC!V18&lt;&gt;"",LEN(Create_PC!V18),"")</f>
      </c>
      <c r="Q28" s="240"/>
      <c r="R28" s="241" t="str">
        <f>CONCATENATE(Create_PC!X18,", ",Create_PC!Y18)</f>
        <v>, </v>
      </c>
      <c r="S28" s="241"/>
      <c r="T28" s="241"/>
      <c r="U28" s="241"/>
      <c r="V28" s="242"/>
      <c r="X28" s="283" t="s">
        <v>36</v>
      </c>
      <c r="Y28" s="259"/>
      <c r="Z28" s="259"/>
      <c r="AA28" s="240">
        <f>IF(Create_PC!P28&lt;&gt;"",LEN(Create_PC!P28),"")</f>
      </c>
      <c r="AB28" s="240"/>
      <c r="AC28" s="241" t="str">
        <f>CONCATENATE(Create_PC!R28,", ",Create_PC!S28)</f>
        <v>, </v>
      </c>
      <c r="AD28" s="241"/>
      <c r="AE28" s="241"/>
      <c r="AF28" s="241"/>
      <c r="AG28" s="242"/>
    </row>
    <row r="29" spans="2:33" ht="15" customHeight="1" thickBot="1">
      <c r="B29" s="281" t="s">
        <v>33</v>
      </c>
      <c r="C29" s="282"/>
      <c r="D29" s="282"/>
      <c r="E29" s="240">
        <f>IF(Create_PC!P19&lt;&gt;"",LEN(Create_PC!P19),"")</f>
      </c>
      <c r="F29" s="240"/>
      <c r="G29" s="241" t="str">
        <f>CONCATENATE(Create_PC!R19,", ",Create_PC!S19)</f>
        <v>, </v>
      </c>
      <c r="H29" s="241"/>
      <c r="I29" s="241"/>
      <c r="J29" s="241"/>
      <c r="K29" s="242"/>
      <c r="M29" s="281" t="s">
        <v>41</v>
      </c>
      <c r="N29" s="282"/>
      <c r="O29" s="282"/>
      <c r="P29" s="240">
        <f>IF(Create_PC!V19&lt;&gt;"",LEN(Create_PC!V19),"")</f>
      </c>
      <c r="Q29" s="240"/>
      <c r="R29" s="241" t="str">
        <f>CONCATENATE(Create_PC!X19,", ",Create_PC!Y19)</f>
        <v>, </v>
      </c>
      <c r="S29" s="241"/>
      <c r="T29" s="241"/>
      <c r="U29" s="241"/>
      <c r="V29" s="242"/>
      <c r="X29" s="281" t="s">
        <v>38</v>
      </c>
      <c r="Y29" s="282"/>
      <c r="Z29" s="282"/>
      <c r="AA29" s="240">
        <f>IF(Create_PC!P29&lt;&gt;"",LEN(Create_PC!P29),"")</f>
      </c>
      <c r="AB29" s="240"/>
      <c r="AC29" s="241" t="str">
        <f>CONCATENATE(Create_PC!R29,", ",Create_PC!S29)</f>
        <v>, </v>
      </c>
      <c r="AD29" s="241"/>
      <c r="AE29" s="241"/>
      <c r="AF29" s="241"/>
      <c r="AG29" s="242"/>
    </row>
    <row r="30" spans="1:34" ht="3.75" customHeight="1">
      <c r="A30" s="123"/>
      <c r="B30" s="100"/>
      <c r="C30" s="100"/>
      <c r="D30" s="100"/>
      <c r="E30" s="101"/>
      <c r="F30" s="101"/>
      <c r="G30" s="127"/>
      <c r="H30" s="127"/>
      <c r="I30" s="127"/>
      <c r="J30" s="127"/>
      <c r="K30" s="127"/>
      <c r="L30" s="123"/>
      <c r="M30" s="100"/>
      <c r="N30" s="100"/>
      <c r="O30" s="100"/>
      <c r="P30" s="101"/>
      <c r="Q30" s="101"/>
      <c r="R30" s="127"/>
      <c r="S30" s="127"/>
      <c r="T30" s="127"/>
      <c r="U30" s="127"/>
      <c r="V30" s="127"/>
      <c r="W30" s="123"/>
      <c r="X30" s="100"/>
      <c r="Y30" s="100"/>
      <c r="Z30" s="100"/>
      <c r="AA30" s="101"/>
      <c r="AB30" s="101"/>
      <c r="AC30" s="127"/>
      <c r="AD30" s="127"/>
      <c r="AE30" s="127"/>
      <c r="AF30" s="127"/>
      <c r="AG30" s="127"/>
      <c r="AH30" s="123"/>
    </row>
    <row r="31" ht="2.25" customHeight="1" thickBot="1"/>
    <row r="32" spans="2:33" ht="15.75" customHeight="1">
      <c r="B32" s="239" t="s">
        <v>207</v>
      </c>
      <c r="C32" s="239"/>
      <c r="D32" s="239"/>
      <c r="E32" s="239"/>
      <c r="F32" s="239" t="s">
        <v>51</v>
      </c>
      <c r="G32" s="239"/>
      <c r="H32" s="239"/>
      <c r="I32" s="239"/>
      <c r="J32" s="239"/>
      <c r="K32" s="239"/>
      <c r="L32" s="277" t="s">
        <v>208</v>
      </c>
      <c r="M32" s="277"/>
      <c r="N32" s="277"/>
      <c r="O32" s="277"/>
      <c r="P32" s="277"/>
      <c r="Q32" s="277"/>
      <c r="R32" s="277"/>
      <c r="S32" s="277"/>
      <c r="T32" s="277"/>
      <c r="U32" s="277"/>
      <c r="V32" s="277"/>
      <c r="X32" s="278" t="s">
        <v>69</v>
      </c>
      <c r="Y32" s="279"/>
      <c r="Z32" s="279"/>
      <c r="AA32" s="279"/>
      <c r="AB32" s="279"/>
      <c r="AC32" s="279"/>
      <c r="AD32" s="279"/>
      <c r="AE32" s="279"/>
      <c r="AF32" s="279"/>
      <c r="AG32" s="280"/>
    </row>
    <row r="33" spans="2:33" ht="15.75" customHeight="1">
      <c r="B33" s="272">
        <f>IF(Create_PC!B26&gt;"",Create_PC!B26,"")</f>
      </c>
      <c r="C33" s="272"/>
      <c r="D33" s="272"/>
      <c r="E33" s="272"/>
      <c r="F33" s="272">
        <f>IF(Create_PC!D26&gt;"",Create_PC!D26,"")</f>
      </c>
      <c r="G33" s="272"/>
      <c r="H33" s="272"/>
      <c r="I33" s="272"/>
      <c r="J33" s="272"/>
      <c r="K33" s="272"/>
      <c r="L33" s="272">
        <f>IF(Create_PC!F26&gt;"",Create_PC!F26,"")</f>
      </c>
      <c r="M33" s="272"/>
      <c r="N33" s="272"/>
      <c r="O33" s="272"/>
      <c r="P33" s="272"/>
      <c r="Q33" s="272"/>
      <c r="R33" s="272"/>
      <c r="S33" s="272"/>
      <c r="T33" s="272"/>
      <c r="U33" s="272"/>
      <c r="V33" s="272"/>
      <c r="X33" s="275" t="s">
        <v>193</v>
      </c>
      <c r="Y33" s="276"/>
      <c r="Z33" s="276"/>
      <c r="AA33" s="273" t="s">
        <v>209</v>
      </c>
      <c r="AB33" s="273"/>
      <c r="AC33" s="273" t="s">
        <v>195</v>
      </c>
      <c r="AD33" s="273"/>
      <c r="AE33" s="273"/>
      <c r="AF33" s="273"/>
      <c r="AG33" s="274"/>
    </row>
    <row r="34" spans="2:33" ht="15.75" customHeight="1">
      <c r="B34" s="272"/>
      <c r="C34" s="272"/>
      <c r="D34" s="272"/>
      <c r="E34" s="272"/>
      <c r="F34" s="272"/>
      <c r="G34" s="272"/>
      <c r="H34" s="272"/>
      <c r="I34" s="272"/>
      <c r="J34" s="272"/>
      <c r="K34" s="272"/>
      <c r="L34" s="272"/>
      <c r="M34" s="272"/>
      <c r="N34" s="272"/>
      <c r="O34" s="272"/>
      <c r="P34" s="272"/>
      <c r="Q34" s="272"/>
      <c r="R34" s="272"/>
      <c r="S34" s="272"/>
      <c r="T34" s="272"/>
      <c r="U34" s="272"/>
      <c r="V34" s="272"/>
      <c r="X34" s="243" t="str">
        <f>CONCATENATE(Create_PC!H16," ",Create_PC!I16)</f>
        <v>2 </v>
      </c>
      <c r="Y34" s="244"/>
      <c r="Z34" s="244"/>
      <c r="AA34" s="240">
        <f>IF(Create_PC!G16&lt;&gt;"",LEN(Create_PC!G16),"")</f>
      </c>
      <c r="AB34" s="240"/>
      <c r="AC34" s="241"/>
      <c r="AD34" s="241"/>
      <c r="AE34" s="241"/>
      <c r="AF34" s="241"/>
      <c r="AG34" s="242"/>
    </row>
    <row r="35" spans="2:33" ht="15.75" customHeight="1">
      <c r="B35" s="272">
        <f>IF(Create_PC!B27&gt;"",Create_PC!B27,"")</f>
      </c>
      <c r="C35" s="272"/>
      <c r="D35" s="272"/>
      <c r="E35" s="272"/>
      <c r="F35" s="272">
        <f>IF(Create_PC!D27&gt;"",Create_PC!D27,"")</f>
      </c>
      <c r="G35" s="272"/>
      <c r="H35" s="272"/>
      <c r="I35" s="272"/>
      <c r="J35" s="272"/>
      <c r="K35" s="272"/>
      <c r="L35" s="272">
        <f>IF(Create_PC!F27&gt;"",Create_PC!F27,"")</f>
      </c>
      <c r="M35" s="272"/>
      <c r="N35" s="272"/>
      <c r="O35" s="272"/>
      <c r="P35" s="272"/>
      <c r="Q35" s="272"/>
      <c r="R35" s="272"/>
      <c r="S35" s="272"/>
      <c r="T35" s="272"/>
      <c r="U35" s="272"/>
      <c r="V35" s="272"/>
      <c r="X35" s="243" t="str">
        <f>CONCATENATE(Create_PC!H17," ",Create_PC!I17)</f>
        <v>7 </v>
      </c>
      <c r="Y35" s="244"/>
      <c r="Z35" s="244"/>
      <c r="AA35" s="240">
        <f>IF(Create_PC!G17&lt;&gt;"",LEN(Create_PC!G17),"")</f>
      </c>
      <c r="AB35" s="240"/>
      <c r="AC35" s="241"/>
      <c r="AD35" s="241"/>
      <c r="AE35" s="241"/>
      <c r="AF35" s="241"/>
      <c r="AG35" s="242"/>
    </row>
    <row r="36" spans="2:33" ht="15.75" customHeight="1">
      <c r="B36" s="272"/>
      <c r="C36" s="272"/>
      <c r="D36" s="272"/>
      <c r="E36" s="272"/>
      <c r="F36" s="272"/>
      <c r="G36" s="272"/>
      <c r="H36" s="272"/>
      <c r="I36" s="272"/>
      <c r="J36" s="272"/>
      <c r="K36" s="272"/>
      <c r="L36" s="272"/>
      <c r="M36" s="272"/>
      <c r="N36" s="272"/>
      <c r="O36" s="272"/>
      <c r="P36" s="272"/>
      <c r="Q36" s="272"/>
      <c r="R36" s="272"/>
      <c r="S36" s="272"/>
      <c r="T36" s="272"/>
      <c r="U36" s="272"/>
      <c r="V36" s="272"/>
      <c r="X36" s="243" t="str">
        <f>CONCATENATE(Create_PC!H18," ",Create_PC!I18)</f>
        <v>4 </v>
      </c>
      <c r="Y36" s="244"/>
      <c r="Z36" s="244"/>
      <c r="AA36" s="240">
        <f>IF(Create_PC!G18&lt;&gt;"",LEN(Create_PC!G18),"")</f>
      </c>
      <c r="AB36" s="240"/>
      <c r="AC36" s="241"/>
      <c r="AD36" s="241"/>
      <c r="AE36" s="241"/>
      <c r="AF36" s="241"/>
      <c r="AG36" s="242"/>
    </row>
    <row r="37" spans="2:33" ht="15.75" customHeight="1">
      <c r="B37" s="272">
        <f>IF(Create_PC!B28&gt;"",Create_PC!B28,"")</f>
      </c>
      <c r="C37" s="272"/>
      <c r="D37" s="272"/>
      <c r="E37" s="272"/>
      <c r="F37" s="272">
        <f>IF(Create_PC!D28&gt;"",Create_PC!D28,"")</f>
      </c>
      <c r="G37" s="272"/>
      <c r="H37" s="272"/>
      <c r="I37" s="272"/>
      <c r="J37" s="272"/>
      <c r="K37" s="272"/>
      <c r="L37" s="272">
        <f>IF(Create_PC!F28&gt;"",Create_PC!F28,"")</f>
      </c>
      <c r="M37" s="272"/>
      <c r="N37" s="272"/>
      <c r="O37" s="272"/>
      <c r="P37" s="272"/>
      <c r="Q37" s="272"/>
      <c r="R37" s="272"/>
      <c r="S37" s="272"/>
      <c r="T37" s="272"/>
      <c r="U37" s="272"/>
      <c r="V37" s="272"/>
      <c r="X37" s="243" t="str">
        <f>CONCATENATE(Create_PC!H19," ",Create_PC!I19)</f>
        <v>5 </v>
      </c>
      <c r="Y37" s="244"/>
      <c r="Z37" s="244"/>
      <c r="AA37" s="240">
        <f>IF(Create_PC!G19&lt;&gt;"",LEN(Create_PC!G19),"")</f>
      </c>
      <c r="AB37" s="240"/>
      <c r="AC37" s="241"/>
      <c r="AD37" s="241"/>
      <c r="AE37" s="241"/>
      <c r="AF37" s="241"/>
      <c r="AG37" s="242"/>
    </row>
    <row r="38" spans="2:33" ht="15.75" customHeight="1">
      <c r="B38" s="272"/>
      <c r="C38" s="272"/>
      <c r="D38" s="272"/>
      <c r="E38" s="272"/>
      <c r="F38" s="272"/>
      <c r="G38" s="272"/>
      <c r="H38" s="272"/>
      <c r="I38" s="272"/>
      <c r="J38" s="272"/>
      <c r="K38" s="272"/>
      <c r="L38" s="272"/>
      <c r="M38" s="272"/>
      <c r="N38" s="272"/>
      <c r="O38" s="272"/>
      <c r="P38" s="272"/>
      <c r="Q38" s="272"/>
      <c r="R38" s="272"/>
      <c r="S38" s="272"/>
      <c r="T38" s="272"/>
      <c r="U38" s="272"/>
      <c r="V38" s="272"/>
      <c r="X38" s="243" t="str">
        <f>CONCATENATE(Create_PC!H20," ",Create_PC!I20)</f>
        <v>5 </v>
      </c>
      <c r="Y38" s="244"/>
      <c r="Z38" s="244"/>
      <c r="AA38" s="240">
        <f>IF(Create_PC!G20&lt;&gt;"",LEN(Create_PC!G20),"")</f>
      </c>
      <c r="AB38" s="240"/>
      <c r="AC38" s="241"/>
      <c r="AD38" s="241"/>
      <c r="AE38" s="241"/>
      <c r="AF38" s="241"/>
      <c r="AG38" s="242"/>
    </row>
    <row r="39" spans="24:33" ht="15.75" customHeight="1" thickBot="1">
      <c r="X39" s="256" t="str">
        <f>CONCATENATE(Create_PC!H21," ",Create_PC!I21)</f>
        <v>7 </v>
      </c>
      <c r="Y39" s="257"/>
      <c r="Z39" s="257"/>
      <c r="AA39" s="258">
        <f>IF(Create_PC!G21&lt;&gt;"",LEN(Create_PC!G21),"")</f>
      </c>
      <c r="AB39" s="258"/>
      <c r="AC39" s="237"/>
      <c r="AD39" s="237"/>
      <c r="AE39" s="237"/>
      <c r="AF39" s="237"/>
      <c r="AG39" s="238"/>
    </row>
    <row r="40" spans="2:22" ht="15" customHeight="1">
      <c r="B40" s="239" t="s">
        <v>211</v>
      </c>
      <c r="C40" s="239"/>
      <c r="D40" s="239"/>
      <c r="E40" s="239"/>
      <c r="F40" s="239"/>
      <c r="G40" s="239"/>
      <c r="H40" s="239" t="s">
        <v>220</v>
      </c>
      <c r="I40" s="239"/>
      <c r="J40" s="239" t="s">
        <v>212</v>
      </c>
      <c r="K40" s="239"/>
      <c r="L40" s="239"/>
      <c r="M40" s="239" t="s">
        <v>213</v>
      </c>
      <c r="N40" s="239"/>
      <c r="O40" s="239"/>
      <c r="P40" s="239" t="s">
        <v>214</v>
      </c>
      <c r="Q40" s="239"/>
      <c r="R40" s="239"/>
      <c r="S40" s="239" t="s">
        <v>215</v>
      </c>
      <c r="T40" s="239"/>
      <c r="U40" s="239"/>
      <c r="V40" s="239"/>
    </row>
    <row r="41" spans="2:22" ht="15" customHeight="1">
      <c r="B41" s="259">
        <f>IF(Create_PC!B31&gt;"",Create_PC!B31,"")</f>
      </c>
      <c r="C41" s="259"/>
      <c r="D41" s="259"/>
      <c r="E41" s="259"/>
      <c r="F41" s="259"/>
      <c r="G41" s="259"/>
      <c r="H41" s="259"/>
      <c r="I41" s="259"/>
      <c r="J41" s="259">
        <f>IF($B:$B&gt;"",VLOOKUP($B:$B,Lup1,5,),"")</f>
      </c>
      <c r="K41" s="259"/>
      <c r="L41" s="259"/>
      <c r="M41" s="259">
        <f>IF($B:$B&gt;"",VLOOKUP($B:$B,Lup1,6,),"")</f>
      </c>
      <c r="N41" s="259"/>
      <c r="O41" s="259"/>
      <c r="P41" s="259">
        <f>IF($B:$B&gt;"",VLOOKUP($B:$B,Lup1,4,),"")</f>
      </c>
      <c r="Q41" s="259"/>
      <c r="R41" s="259"/>
      <c r="S41" s="259">
        <f>IF($B:$B&gt;"",VLOOKUP($B:$B,Lup1,2,),"")</f>
      </c>
      <c r="T41" s="259"/>
      <c r="U41" s="259"/>
      <c r="V41" s="259"/>
    </row>
    <row r="42" spans="2:22" ht="15" customHeight="1">
      <c r="B42" s="259">
        <f>IF(Create_PC!B32&gt;"",Create_PC!B32,"")</f>
      </c>
      <c r="C42" s="259"/>
      <c r="D42" s="259"/>
      <c r="E42" s="259"/>
      <c r="F42" s="259"/>
      <c r="G42" s="259"/>
      <c r="H42" s="259"/>
      <c r="I42" s="259"/>
      <c r="J42" s="259">
        <f>IF($B:$B&gt;"",VLOOKUP($B:$B,Lup1,5,),"")</f>
      </c>
      <c r="K42" s="259"/>
      <c r="L42" s="259"/>
      <c r="M42" s="259">
        <f>IF($B:$B&gt;"",VLOOKUP($B:$B,Lup1,6,),"")</f>
      </c>
      <c r="N42" s="259"/>
      <c r="O42" s="259"/>
      <c r="P42" s="259">
        <f>IF($B:$B&gt;"",VLOOKUP($B:$B,Lup1,4,),"")</f>
      </c>
      <c r="Q42" s="259"/>
      <c r="R42" s="259"/>
      <c r="S42" s="259">
        <f>IF($B:$B&gt;"",VLOOKUP($B:$B,Lup1,2,),"")</f>
      </c>
      <c r="T42" s="259"/>
      <c r="U42" s="259"/>
      <c r="V42" s="259"/>
    </row>
    <row r="43" spans="2:33" ht="15" customHeight="1">
      <c r="B43" s="259">
        <f>IF(Create_PC!B33&gt;"",Create_PC!B33,"")</f>
      </c>
      <c r="C43" s="259"/>
      <c r="D43" s="259"/>
      <c r="E43" s="259"/>
      <c r="F43" s="259"/>
      <c r="G43" s="259"/>
      <c r="H43" s="259"/>
      <c r="I43" s="259"/>
      <c r="J43" s="259">
        <f>IF($B:$B&gt;"",VLOOKUP($B:$B,Lup1,5,),"")</f>
      </c>
      <c r="K43" s="259"/>
      <c r="L43" s="259"/>
      <c r="M43" s="259">
        <f>IF($B:$B&gt;"",VLOOKUP($B:$B,Lup1,6,),"")</f>
      </c>
      <c r="N43" s="259"/>
      <c r="O43" s="259"/>
      <c r="P43" s="259">
        <f>IF($B:$B&gt;"",VLOOKUP($B:$B,Lup1,4,),"")</f>
      </c>
      <c r="Q43" s="259"/>
      <c r="R43" s="259"/>
      <c r="S43" s="259">
        <f>IF($B:$B&gt;"",VLOOKUP($B:$B,Lup1,2,),"")</f>
      </c>
      <c r="T43" s="259"/>
      <c r="U43" s="259"/>
      <c r="V43" s="259"/>
      <c r="X43" s="239" t="s">
        <v>221</v>
      </c>
      <c r="Y43" s="239"/>
      <c r="Z43" s="239"/>
      <c r="AA43" s="239"/>
      <c r="AB43" s="253" t="str">
        <f>IF(AY6&lt;&gt;"",CONCATENATE(clout," ",Create_PC!K11),Create_PC!J11)</f>
        <v>RESPECTABILITY:</v>
      </c>
      <c r="AC43" s="254"/>
      <c r="AD43" s="254"/>
      <c r="AE43" s="254"/>
      <c r="AF43" s="254"/>
      <c r="AG43" s="255"/>
    </row>
    <row r="44" ht="2.25" customHeight="1" thickBot="1"/>
    <row r="45" spans="2:33" ht="15.75" customHeight="1">
      <c r="B45" s="262" t="str">
        <f>IF(Genre="Crime Network","Shortcomings:","Background, Notes")</f>
        <v>Shortcomings:</v>
      </c>
      <c r="C45" s="263"/>
      <c r="D45" s="263"/>
      <c r="E45" s="263"/>
      <c r="F45" s="264" t="str">
        <f>CONCATENATE(IF(Create_PC!U28&gt;"",CONCATENATE(Create_PC!U28," - ",Create_PC!W28),""),"
       ",,IF(Create_PC!U29&gt;"",CONCATENATE(Create_PC!U29," - ",Create_PC!W29),""),"")</f>
        <v>
       </v>
      </c>
      <c r="G45" s="264"/>
      <c r="H45" s="264"/>
      <c r="I45" s="264"/>
      <c r="J45" s="264"/>
      <c r="K45" s="264"/>
      <c r="L45" s="264"/>
      <c r="M45" s="264"/>
      <c r="N45" s="264"/>
      <c r="O45" s="264"/>
      <c r="P45" s="264"/>
      <c r="Q45" s="264"/>
      <c r="R45" s="264"/>
      <c r="S45" s="264"/>
      <c r="T45" s="264"/>
      <c r="U45" s="264"/>
      <c r="V45" s="265"/>
      <c r="X45" s="246"/>
      <c r="Y45" s="247"/>
      <c r="Z45" s="247"/>
      <c r="AA45" s="248"/>
      <c r="AB45" s="25">
        <v>1</v>
      </c>
      <c r="AC45" s="25">
        <v>2</v>
      </c>
      <c r="AD45" s="25">
        <v>3</v>
      </c>
      <c r="AE45" s="25">
        <v>4</v>
      </c>
      <c r="AF45" s="25">
        <v>5</v>
      </c>
      <c r="AG45" s="25">
        <v>6</v>
      </c>
    </row>
    <row r="46" spans="2:33" ht="15.75" customHeight="1">
      <c r="B46" s="128"/>
      <c r="C46" s="122"/>
      <c r="D46" s="122"/>
      <c r="E46" s="122"/>
      <c r="F46" s="266"/>
      <c r="G46" s="266"/>
      <c r="H46" s="266"/>
      <c r="I46" s="266"/>
      <c r="J46" s="266"/>
      <c r="K46" s="266"/>
      <c r="L46" s="266"/>
      <c r="M46" s="266"/>
      <c r="N46" s="266"/>
      <c r="O46" s="266"/>
      <c r="P46" s="266"/>
      <c r="Q46" s="266"/>
      <c r="R46" s="266"/>
      <c r="S46" s="266"/>
      <c r="T46" s="266"/>
      <c r="U46" s="266"/>
      <c r="V46" s="267"/>
      <c r="X46" s="249" t="s">
        <v>225</v>
      </c>
      <c r="Y46" s="250"/>
      <c r="Z46" s="250"/>
      <c r="AA46" s="250"/>
      <c r="AB46" s="250"/>
      <c r="AC46" s="250"/>
      <c r="AD46" s="250"/>
      <c r="AE46" s="250"/>
      <c r="AF46" s="250"/>
      <c r="AG46" s="250"/>
    </row>
    <row r="47" spans="2:33" ht="15.75" customHeight="1" thickBot="1">
      <c r="B47" s="129"/>
      <c r="C47" s="130"/>
      <c r="D47" s="130"/>
      <c r="E47" s="130"/>
      <c r="F47" s="268"/>
      <c r="G47" s="268"/>
      <c r="H47" s="268"/>
      <c r="I47" s="268"/>
      <c r="J47" s="268"/>
      <c r="K47" s="268"/>
      <c r="L47" s="268"/>
      <c r="M47" s="268"/>
      <c r="N47" s="268"/>
      <c r="O47" s="268"/>
      <c r="P47" s="268"/>
      <c r="Q47" s="268"/>
      <c r="R47" s="268"/>
      <c r="S47" s="268"/>
      <c r="T47" s="268"/>
      <c r="U47" s="268"/>
      <c r="V47" s="269"/>
      <c r="X47" s="245" t="s">
        <v>224</v>
      </c>
      <c r="Y47" s="245"/>
      <c r="Z47" s="245" t="s">
        <v>222</v>
      </c>
      <c r="AA47" s="245"/>
      <c r="AB47" s="252" t="s">
        <v>223</v>
      </c>
      <c r="AC47" s="252"/>
      <c r="AD47" s="252"/>
      <c r="AE47" s="252"/>
      <c r="AF47" s="252"/>
      <c r="AG47" s="252"/>
    </row>
    <row r="48" ht="3.7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mergeCells count="229">
    <mergeCell ref="AC16:AG16"/>
    <mergeCell ref="AC17:AG17"/>
    <mergeCell ref="AA19:AB19"/>
    <mergeCell ref="AC19:AG19"/>
    <mergeCell ref="BI3:BR3"/>
    <mergeCell ref="BC4:BR7"/>
    <mergeCell ref="AC14:AG14"/>
    <mergeCell ref="AC15:AG15"/>
    <mergeCell ref="B13:K13"/>
    <mergeCell ref="M13:V13"/>
    <mergeCell ref="AA2:AG10"/>
    <mergeCell ref="B2:B10"/>
    <mergeCell ref="I7:I10"/>
    <mergeCell ref="X13:AG13"/>
    <mergeCell ref="H2:H4"/>
    <mergeCell ref="N7:N10"/>
    <mergeCell ref="I5:I6"/>
    <mergeCell ref="J5:J6"/>
    <mergeCell ref="BC2:BR2"/>
    <mergeCell ref="N2:N4"/>
    <mergeCell ref="B14:D14"/>
    <mergeCell ref="E14:F14"/>
    <mergeCell ref="G14:K14"/>
    <mergeCell ref="M14:O14"/>
    <mergeCell ref="P14:Q14"/>
    <mergeCell ref="R14:V14"/>
    <mergeCell ref="X14:Z14"/>
    <mergeCell ref="AA14:AB14"/>
    <mergeCell ref="B15:D15"/>
    <mergeCell ref="E15:F15"/>
    <mergeCell ref="G15:K15"/>
    <mergeCell ref="M15:O15"/>
    <mergeCell ref="P15:Q15"/>
    <mergeCell ref="R15:V15"/>
    <mergeCell ref="X15:Z15"/>
    <mergeCell ref="AA15:AB15"/>
    <mergeCell ref="B16:D16"/>
    <mergeCell ref="E16:F16"/>
    <mergeCell ref="G16:K16"/>
    <mergeCell ref="M16:O16"/>
    <mergeCell ref="P16:Q16"/>
    <mergeCell ref="R16:V16"/>
    <mergeCell ref="X16:Z16"/>
    <mergeCell ref="AA16:AB16"/>
    <mergeCell ref="B17:D17"/>
    <mergeCell ref="E17:F17"/>
    <mergeCell ref="G17:K17"/>
    <mergeCell ref="M17:O17"/>
    <mergeCell ref="P17:Q17"/>
    <mergeCell ref="R17:V17"/>
    <mergeCell ref="X17:Z17"/>
    <mergeCell ref="AA17:AB17"/>
    <mergeCell ref="B18:D18"/>
    <mergeCell ref="E18:F18"/>
    <mergeCell ref="G18:K18"/>
    <mergeCell ref="M18:O18"/>
    <mergeCell ref="P18:Q18"/>
    <mergeCell ref="R18:V18"/>
    <mergeCell ref="X18:Z18"/>
    <mergeCell ref="AA18:AB18"/>
    <mergeCell ref="G20:K20"/>
    <mergeCell ref="M20:O20"/>
    <mergeCell ref="AC18:AG18"/>
    <mergeCell ref="B19:D19"/>
    <mergeCell ref="E19:F19"/>
    <mergeCell ref="G19:K19"/>
    <mergeCell ref="M19:O19"/>
    <mergeCell ref="P19:Q19"/>
    <mergeCell ref="R19:V19"/>
    <mergeCell ref="X19:Z19"/>
    <mergeCell ref="AC20:AG20"/>
    <mergeCell ref="B22:K22"/>
    <mergeCell ref="M22:V22"/>
    <mergeCell ref="X22:AG22"/>
    <mergeCell ref="P20:Q20"/>
    <mergeCell ref="R20:V20"/>
    <mergeCell ref="X20:Z20"/>
    <mergeCell ref="AA20:AB20"/>
    <mergeCell ref="B20:D20"/>
    <mergeCell ref="E20:F20"/>
    <mergeCell ref="B23:D23"/>
    <mergeCell ref="E23:F23"/>
    <mergeCell ref="G23:K23"/>
    <mergeCell ref="M23:O23"/>
    <mergeCell ref="P23:Q23"/>
    <mergeCell ref="R23:V23"/>
    <mergeCell ref="X23:Z23"/>
    <mergeCell ref="AA23:AB23"/>
    <mergeCell ref="AC23:AG23"/>
    <mergeCell ref="B24:D24"/>
    <mergeCell ref="E24:F24"/>
    <mergeCell ref="G24:K24"/>
    <mergeCell ref="M24:O24"/>
    <mergeCell ref="P24:Q24"/>
    <mergeCell ref="R24:V24"/>
    <mergeCell ref="X24:Z24"/>
    <mergeCell ref="AA24:AB24"/>
    <mergeCell ref="AC24:AG24"/>
    <mergeCell ref="B25:D25"/>
    <mergeCell ref="E25:F25"/>
    <mergeCell ref="G25:K25"/>
    <mergeCell ref="M25:O25"/>
    <mergeCell ref="P25:Q25"/>
    <mergeCell ref="R25:V25"/>
    <mergeCell ref="X25:Z25"/>
    <mergeCell ref="AA25:AB25"/>
    <mergeCell ref="AC25:AG25"/>
    <mergeCell ref="B26:D26"/>
    <mergeCell ref="E26:F26"/>
    <mergeCell ref="G26:K26"/>
    <mergeCell ref="M26:O26"/>
    <mergeCell ref="P26:Q26"/>
    <mergeCell ref="R26:V26"/>
    <mergeCell ref="X26:Z26"/>
    <mergeCell ref="AA26:AB26"/>
    <mergeCell ref="AC26:AG26"/>
    <mergeCell ref="R27:V27"/>
    <mergeCell ref="X27:Z27"/>
    <mergeCell ref="AA27:AB27"/>
    <mergeCell ref="B27:D27"/>
    <mergeCell ref="E27:F27"/>
    <mergeCell ref="G27:K27"/>
    <mergeCell ref="M27:O27"/>
    <mergeCell ref="B28:D28"/>
    <mergeCell ref="E28:F28"/>
    <mergeCell ref="G28:K28"/>
    <mergeCell ref="M28:O28"/>
    <mergeCell ref="E29:F29"/>
    <mergeCell ref="G29:K29"/>
    <mergeCell ref="M29:O29"/>
    <mergeCell ref="AC27:AG27"/>
    <mergeCell ref="P28:Q28"/>
    <mergeCell ref="R28:V28"/>
    <mergeCell ref="X28:Z28"/>
    <mergeCell ref="AA28:AB28"/>
    <mergeCell ref="AC28:AG28"/>
    <mergeCell ref="P27:Q27"/>
    <mergeCell ref="AC29:AG29"/>
    <mergeCell ref="B32:E32"/>
    <mergeCell ref="F32:K32"/>
    <mergeCell ref="L32:V32"/>
    <mergeCell ref="X32:AG32"/>
    <mergeCell ref="P29:Q29"/>
    <mergeCell ref="R29:V29"/>
    <mergeCell ref="X29:Z29"/>
    <mergeCell ref="AA29:AB29"/>
    <mergeCell ref="B29:D29"/>
    <mergeCell ref="B33:E34"/>
    <mergeCell ref="F33:K34"/>
    <mergeCell ref="L33:V34"/>
    <mergeCell ref="X33:Z33"/>
    <mergeCell ref="AA33:AB33"/>
    <mergeCell ref="AC33:AG33"/>
    <mergeCell ref="X34:Z34"/>
    <mergeCell ref="AA34:AB34"/>
    <mergeCell ref="AC34:AG34"/>
    <mergeCell ref="B35:E36"/>
    <mergeCell ref="F35:K36"/>
    <mergeCell ref="L35:V36"/>
    <mergeCell ref="X35:Z35"/>
    <mergeCell ref="AC35:AG35"/>
    <mergeCell ref="X36:Z36"/>
    <mergeCell ref="AA36:AB36"/>
    <mergeCell ref="AC36:AG36"/>
    <mergeCell ref="B37:E38"/>
    <mergeCell ref="F37:K38"/>
    <mergeCell ref="L37:V38"/>
    <mergeCell ref="X37:Z37"/>
    <mergeCell ref="B40:G40"/>
    <mergeCell ref="H40:I40"/>
    <mergeCell ref="J40:L40"/>
    <mergeCell ref="M40:O40"/>
    <mergeCell ref="J41:L41"/>
    <mergeCell ref="M41:O41"/>
    <mergeCell ref="X43:AA43"/>
    <mergeCell ref="P41:R41"/>
    <mergeCell ref="S41:V41"/>
    <mergeCell ref="J43:L43"/>
    <mergeCell ref="M43:O43"/>
    <mergeCell ref="P43:R43"/>
    <mergeCell ref="B45:E45"/>
    <mergeCell ref="F45:V47"/>
    <mergeCell ref="D2:D10"/>
    <mergeCell ref="F2:F10"/>
    <mergeCell ref="P42:R42"/>
    <mergeCell ref="S42:V42"/>
    <mergeCell ref="S43:V43"/>
    <mergeCell ref="J7:J10"/>
    <mergeCell ref="K7:K10"/>
    <mergeCell ref="M2:M4"/>
    <mergeCell ref="B43:G43"/>
    <mergeCell ref="H43:I43"/>
    <mergeCell ref="L7:L10"/>
    <mergeCell ref="M7:M10"/>
    <mergeCell ref="B42:G42"/>
    <mergeCell ref="H42:I42"/>
    <mergeCell ref="J42:L42"/>
    <mergeCell ref="M42:O42"/>
    <mergeCell ref="B41:G41"/>
    <mergeCell ref="H41:I41"/>
    <mergeCell ref="X47:Y47"/>
    <mergeCell ref="X45:AA45"/>
    <mergeCell ref="X46:AG46"/>
    <mergeCell ref="M5:M6"/>
    <mergeCell ref="N5:N6"/>
    <mergeCell ref="Z47:AA47"/>
    <mergeCell ref="AB47:AG47"/>
    <mergeCell ref="AB43:AG43"/>
    <mergeCell ref="X39:Z39"/>
    <mergeCell ref="AA39:AB39"/>
    <mergeCell ref="AC39:AG39"/>
    <mergeCell ref="P40:R40"/>
    <mergeCell ref="S40:V40"/>
    <mergeCell ref="P2:P10"/>
    <mergeCell ref="AA37:AB37"/>
    <mergeCell ref="AC37:AG37"/>
    <mergeCell ref="X38:Z38"/>
    <mergeCell ref="AA38:AB38"/>
    <mergeCell ref="AC38:AG38"/>
    <mergeCell ref="AA35:AB35"/>
    <mergeCell ref="C2:C10"/>
    <mergeCell ref="I2:I4"/>
    <mergeCell ref="J2:J4"/>
    <mergeCell ref="K2:K4"/>
    <mergeCell ref="L2:L4"/>
    <mergeCell ref="H7:H10"/>
    <mergeCell ref="H5:H6"/>
    <mergeCell ref="K5:K6"/>
    <mergeCell ref="L5:L6"/>
  </mergeCells>
  <conditionalFormatting sqref="AB45:AG45">
    <cfRule type="expression" priority="1" dxfId="7" stopIfTrue="1">
      <formula>AB$45=$AK$17</formula>
    </cfRule>
  </conditionalFormatting>
  <conditionalFormatting sqref="BA2">
    <cfRule type="expression" priority="2" dxfId="5" stopIfTrue="1">
      <formula>LEN($BA$2)&gt;26</formula>
    </cfRule>
  </conditionalFormatting>
  <conditionalFormatting sqref="AN2">
    <cfRule type="expression" priority="3" dxfId="8" stopIfTrue="1">
      <formula>LEN($AN$2)&lt;24</formula>
    </cfRule>
  </conditionalFormatting>
  <conditionalFormatting sqref="M23:V30">
    <cfRule type="expression" priority="4" dxfId="2" stopIfTrue="1">
      <formula>Genre="Crime Network"</formula>
    </cfRule>
  </conditionalFormatting>
  <dataValidations count="1">
    <dataValidation type="list" allowBlank="1" showInputMessage="1" showErrorMessage="1" sqref="X45:AA45">
      <formula1>"Heavy (+3), Medium (+2), Light (+1)"</formula1>
    </dataValidation>
  </dataValidations>
  <printOptions/>
  <pageMargins left="0.25" right="0.25" top="1" bottom="1"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2"/>
  <dimension ref="B2:AX38"/>
  <sheetViews>
    <sheetView showGridLines="0" workbookViewId="0" topLeftCell="A1">
      <selection activeCell="P4" sqref="P4"/>
    </sheetView>
  </sheetViews>
  <sheetFormatPr defaultColWidth="9.140625" defaultRowHeight="18.75" customHeight="1"/>
  <cols>
    <col min="1" max="1" width="0.9921875" style="0" customWidth="1"/>
    <col min="2" max="33" width="3.140625" style="0" customWidth="1"/>
    <col min="34" max="35" width="0.71875" style="0" customWidth="1"/>
    <col min="36" max="51" width="2.8515625" style="0" customWidth="1"/>
    <col min="52" max="16384" width="3.140625" style="0" customWidth="1"/>
  </cols>
  <sheetData>
    <row r="1" ht="5.25" customHeight="1" thickBot="1"/>
    <row r="2" spans="2:50" s="9" customFormat="1" ht="21" customHeight="1">
      <c r="B2" s="331" t="str">
        <f>IF(Name&gt;" ",CONCATENATE(Name,"   (",LEFT(Sex,1),")"),"Name:")</f>
        <v>Name:</v>
      </c>
      <c r="C2" s="332"/>
      <c r="D2" s="332"/>
      <c r="E2" s="332"/>
      <c r="F2" s="332"/>
      <c r="G2" s="332"/>
      <c r="H2" s="332"/>
      <c r="I2" s="332"/>
      <c r="J2" s="8"/>
      <c r="K2" s="8"/>
      <c r="L2" s="8"/>
      <c r="M2" s="346" t="s">
        <v>72</v>
      </c>
      <c r="N2" s="347"/>
      <c r="O2" s="333">
        <f>IF(M6&lt;&gt;"",CONCATENATE(VLOOKUP(Agcy,Lup1,3,),"-",VLOOKUP(Agcy,LUP!1:663,2,),"-",DOB,LEN(Name),LEN(BPlace)),"")</f>
      </c>
      <c r="Q2" s="330" t="str">
        <f>Create_PC!B1</f>
        <v>Crime Network</v>
      </c>
      <c r="R2" s="330"/>
      <c r="S2" s="330"/>
      <c r="T2" s="330"/>
      <c r="U2" s="330"/>
      <c r="V2" s="330"/>
      <c r="W2" s="330"/>
      <c r="X2" s="330"/>
      <c r="Y2" s="330"/>
      <c r="Z2" s="330"/>
      <c r="AA2" s="330"/>
      <c r="AB2" s="330"/>
      <c r="AC2" s="330"/>
      <c r="AH2"/>
      <c r="AI2"/>
      <c r="AJ2"/>
      <c r="AK2"/>
      <c r="AL2"/>
      <c r="AM2"/>
      <c r="AN2"/>
      <c r="AO2"/>
      <c r="AP2"/>
      <c r="AQ2"/>
      <c r="AR2"/>
      <c r="AS2"/>
      <c r="AT2"/>
      <c r="AU2"/>
      <c r="AV2"/>
      <c r="AW2"/>
      <c r="AX2"/>
    </row>
    <row r="3" spans="2:50" s="9" customFormat="1" ht="18.75" customHeight="1">
      <c r="B3" s="13"/>
      <c r="C3" s="14"/>
      <c r="D3" s="14"/>
      <c r="E3" s="14"/>
      <c r="F3" s="14"/>
      <c r="G3" s="14"/>
      <c r="H3" s="14"/>
      <c r="I3" s="15"/>
      <c r="J3" s="15"/>
      <c r="K3" s="22"/>
      <c r="L3" s="22"/>
      <c r="M3" s="348"/>
      <c r="N3" s="349"/>
      <c r="O3" s="334"/>
      <c r="Q3" s="16" t="str">
        <f>IF(Genre="Crime Network","Shortcomings:","Background, Notes")</f>
        <v>Shortcomings:</v>
      </c>
      <c r="R3" s="17"/>
      <c r="S3" s="17"/>
      <c r="T3" s="17"/>
      <c r="U3" s="17"/>
      <c r="V3" s="17"/>
      <c r="W3" s="305">
        <f>IF(Bkg&gt;"",Bkg,"")</f>
      </c>
      <c r="X3" s="305"/>
      <c r="Y3" s="305"/>
      <c r="Z3" s="305"/>
      <c r="AA3" s="305"/>
      <c r="AB3" s="305"/>
      <c r="AC3" s="305"/>
      <c r="AD3" s="305"/>
      <c r="AE3" s="305"/>
      <c r="AF3" s="306"/>
      <c r="AH3"/>
      <c r="AI3"/>
      <c r="AJ3"/>
      <c r="AK3"/>
      <c r="AL3"/>
      <c r="AM3"/>
      <c r="AN3"/>
      <c r="AO3"/>
      <c r="AP3"/>
      <c r="AQ3"/>
      <c r="AR3"/>
      <c r="AS3"/>
      <c r="AT3"/>
      <c r="AU3"/>
      <c r="AV3"/>
      <c r="AW3"/>
      <c r="AX3"/>
    </row>
    <row r="4" spans="2:32" ht="18.75" customHeight="1">
      <c r="B4" s="12"/>
      <c r="C4" s="343">
        <f>IF(Agcy&gt;" ",Agcy,"")</f>
      </c>
      <c r="D4" s="343"/>
      <c r="E4" s="343"/>
      <c r="F4" s="343"/>
      <c r="G4" s="343"/>
      <c r="H4" s="343"/>
      <c r="I4" s="343"/>
      <c r="J4" s="343"/>
      <c r="K4" s="7"/>
      <c r="L4" s="338"/>
      <c r="M4" s="339"/>
      <c r="N4" s="340"/>
      <c r="O4" s="334"/>
      <c r="Q4" s="307" t="str">
        <f>CONCATENATE(IF(Create_PC!R33&gt;"",CONCATENATE(Create_PC!R33,"
"),""),IF(Create_PC!U28&gt;"",CONCATENATE(Create_PC!U28," - ",Create_PC!W28),""),"
       ",,IF(Create_PC!U29&gt;"",CONCATENATE(Create_PC!U29," - ",Create_PC!W29),""),"")</f>
        <v>
       </v>
      </c>
      <c r="R4" s="308"/>
      <c r="S4" s="308"/>
      <c r="T4" s="308"/>
      <c r="U4" s="308"/>
      <c r="V4" s="308"/>
      <c r="W4" s="308"/>
      <c r="X4" s="308"/>
      <c r="Y4" s="308"/>
      <c r="Z4" s="308"/>
      <c r="AA4" s="308"/>
      <c r="AB4" s="308"/>
      <c r="AC4" s="308"/>
      <c r="AD4" s="308"/>
      <c r="AE4" s="308"/>
      <c r="AF4" s="309"/>
    </row>
    <row r="5" spans="2:50" s="9" customFormat="1" ht="18.75" customHeight="1">
      <c r="B5" s="341">
        <f>IF(Title&gt;"",Title,"")</f>
      </c>
      <c r="C5" s="342"/>
      <c r="D5" s="342"/>
      <c r="E5" s="342"/>
      <c r="F5" s="342"/>
      <c r="G5" s="342"/>
      <c r="H5" s="342"/>
      <c r="I5" s="342"/>
      <c r="J5" s="342"/>
      <c r="K5" s="336">
        <f>IF(Ht&lt;&gt;"","  Ht: ","")</f>
      </c>
      <c r="L5" s="336"/>
      <c r="M5" s="336">
        <f>IF(Ht&lt;&gt;"",Ht,"")</f>
      </c>
      <c r="N5" s="344"/>
      <c r="O5" s="334"/>
      <c r="Q5" s="307"/>
      <c r="R5" s="308"/>
      <c r="S5" s="308"/>
      <c r="T5" s="308"/>
      <c r="U5" s="308"/>
      <c r="V5" s="308"/>
      <c r="W5" s="308"/>
      <c r="X5" s="308"/>
      <c r="Y5" s="308"/>
      <c r="Z5" s="308"/>
      <c r="AA5" s="308"/>
      <c r="AB5" s="308"/>
      <c r="AC5" s="308"/>
      <c r="AD5" s="308"/>
      <c r="AE5" s="308"/>
      <c r="AF5" s="309"/>
      <c r="AH5"/>
      <c r="AI5"/>
      <c r="AJ5"/>
      <c r="AK5"/>
      <c r="AL5"/>
      <c r="AM5"/>
      <c r="AN5"/>
      <c r="AO5"/>
      <c r="AP5"/>
      <c r="AQ5"/>
      <c r="AR5"/>
      <c r="AS5"/>
      <c r="AT5"/>
      <c r="AU5"/>
      <c r="AV5"/>
      <c r="AW5"/>
      <c r="AX5"/>
    </row>
    <row r="6" spans="2:50" s="9" customFormat="1" ht="18.75" customHeight="1">
      <c r="B6" s="81">
        <f>IF(DOB&gt;0,"DOB: ","")</f>
      </c>
      <c r="C6" s="355">
        <f>IF(DOB&gt;0,DOB,"")</f>
      </c>
      <c r="D6" s="355"/>
      <c r="E6" s="355"/>
      <c r="F6" s="356">
        <f>IF(BPlace&gt;"",BPlace,"")</f>
      </c>
      <c r="G6" s="356"/>
      <c r="H6" s="356"/>
      <c r="I6" s="356"/>
      <c r="J6" s="10">
        <f>IF(Btype&gt;"",Btype,"")</f>
      </c>
      <c r="K6" s="337">
        <f>IF(Wt&lt;&gt;"","  Wt: ","")</f>
      </c>
      <c r="L6" s="337"/>
      <c r="M6" s="337">
        <f>IF(Wt&lt;&gt;"",CONCATENATE(Wt," LBS"),"")</f>
      </c>
      <c r="N6" s="345"/>
      <c r="O6" s="334"/>
      <c r="Q6" s="307"/>
      <c r="R6" s="308"/>
      <c r="S6" s="308"/>
      <c r="T6" s="308"/>
      <c r="U6" s="308"/>
      <c r="V6" s="308"/>
      <c r="W6" s="308"/>
      <c r="X6" s="308"/>
      <c r="Y6" s="308"/>
      <c r="Z6" s="308"/>
      <c r="AA6" s="308"/>
      <c r="AB6" s="308"/>
      <c r="AC6" s="308"/>
      <c r="AD6" s="308"/>
      <c r="AE6" s="308"/>
      <c r="AF6" s="309"/>
      <c r="AH6"/>
      <c r="AI6"/>
      <c r="AJ6"/>
      <c r="AK6"/>
      <c r="AL6"/>
      <c r="AM6"/>
      <c r="AN6"/>
      <c r="AO6"/>
      <c r="AP6"/>
      <c r="AQ6"/>
      <c r="AR6"/>
      <c r="AS6"/>
      <c r="AT6"/>
      <c r="AU6"/>
      <c r="AV6"/>
      <c r="AW6"/>
      <c r="AX6"/>
    </row>
    <row r="7" spans="2:50" s="9" customFormat="1" ht="18.75" customHeight="1" thickBot="1">
      <c r="B7" s="353">
        <f>IF(Cname&gt;"",CONCATENATE(Create_PC!G7," ",Cname),"")</f>
      </c>
      <c r="C7" s="354"/>
      <c r="D7" s="354"/>
      <c r="E7" s="354"/>
      <c r="F7" s="354"/>
      <c r="G7" s="354"/>
      <c r="H7" s="354"/>
      <c r="I7" s="350">
        <f>IF(Hair&gt;"",CONCATENATE("Hair: ",Hair," Eyes: ",Eye),"")</f>
      </c>
      <c r="J7" s="351"/>
      <c r="K7" s="351"/>
      <c r="L7" s="351"/>
      <c r="M7" s="351"/>
      <c r="N7" s="352"/>
      <c r="O7" s="335"/>
      <c r="Q7" s="310"/>
      <c r="R7" s="311"/>
      <c r="S7" s="311"/>
      <c r="T7" s="311"/>
      <c r="U7" s="311"/>
      <c r="V7" s="311"/>
      <c r="W7" s="311"/>
      <c r="X7" s="311"/>
      <c r="Y7" s="311"/>
      <c r="Z7" s="311"/>
      <c r="AA7" s="311"/>
      <c r="AB7" s="311"/>
      <c r="AC7" s="311"/>
      <c r="AD7" s="311"/>
      <c r="AE7" s="311"/>
      <c r="AF7" s="312"/>
      <c r="AH7"/>
      <c r="AI7"/>
      <c r="AJ7"/>
      <c r="AK7"/>
      <c r="AL7"/>
      <c r="AM7"/>
      <c r="AN7"/>
      <c r="AO7"/>
      <c r="AP7"/>
      <c r="AQ7"/>
      <c r="AR7"/>
      <c r="AS7"/>
      <c r="AT7"/>
      <c r="AU7"/>
      <c r="AV7"/>
      <c r="AW7"/>
      <c r="AX7"/>
    </row>
    <row r="8" ht="9" customHeight="1" thickBot="1"/>
    <row r="9" spans="2:33" ht="18.75" customHeight="1">
      <c r="B9" s="278" t="s">
        <v>66</v>
      </c>
      <c r="C9" s="279"/>
      <c r="D9" s="279"/>
      <c r="E9" s="279"/>
      <c r="F9" s="279"/>
      <c r="G9" s="279"/>
      <c r="H9" s="279"/>
      <c r="I9" s="279"/>
      <c r="J9" s="279"/>
      <c r="K9" s="280"/>
      <c r="M9" s="284" t="s">
        <v>65</v>
      </c>
      <c r="N9" s="285"/>
      <c r="O9" s="285"/>
      <c r="P9" s="285"/>
      <c r="Q9" s="286"/>
      <c r="R9" s="134"/>
      <c r="S9" s="134"/>
      <c r="T9" s="134"/>
      <c r="U9" s="134"/>
      <c r="V9" s="134"/>
      <c r="X9" s="278" t="s">
        <v>71</v>
      </c>
      <c r="Y9" s="279"/>
      <c r="Z9" s="279"/>
      <c r="AA9" s="279"/>
      <c r="AB9" s="279"/>
      <c r="AC9" s="279"/>
      <c r="AD9" s="279"/>
      <c r="AE9" s="279"/>
      <c r="AF9" s="279"/>
      <c r="AG9" s="280"/>
    </row>
    <row r="10" spans="2:33" ht="18.75" customHeight="1">
      <c r="B10" s="275" t="s">
        <v>193</v>
      </c>
      <c r="C10" s="276"/>
      <c r="D10" s="276"/>
      <c r="E10" s="273" t="s">
        <v>209</v>
      </c>
      <c r="F10" s="273"/>
      <c r="G10" s="273" t="s">
        <v>195</v>
      </c>
      <c r="H10" s="273"/>
      <c r="I10" s="273"/>
      <c r="J10" s="273"/>
      <c r="K10" s="274"/>
      <c r="M10" s="275" t="s">
        <v>193</v>
      </c>
      <c r="N10" s="276"/>
      <c r="O10" s="276"/>
      <c r="P10" s="273" t="s">
        <v>210</v>
      </c>
      <c r="Q10" s="274"/>
      <c r="R10" s="329" t="s">
        <v>195</v>
      </c>
      <c r="S10" s="329"/>
      <c r="T10" s="329"/>
      <c r="U10" s="329"/>
      <c r="V10" s="329"/>
      <c r="X10" s="275" t="s">
        <v>193</v>
      </c>
      <c r="Y10" s="276"/>
      <c r="Z10" s="276"/>
      <c r="AA10" s="273" t="s">
        <v>209</v>
      </c>
      <c r="AB10" s="273"/>
      <c r="AC10" s="273" t="s">
        <v>195</v>
      </c>
      <c r="AD10" s="273"/>
      <c r="AE10" s="273"/>
      <c r="AF10" s="273"/>
      <c r="AG10" s="274"/>
    </row>
    <row r="11" spans="2:33" ht="18.75" customHeight="1">
      <c r="B11" s="283" t="s">
        <v>27</v>
      </c>
      <c r="C11" s="259"/>
      <c r="D11" s="259"/>
      <c r="E11" s="240">
        <f>IF(Create_PC!P4&lt;&gt;"",LEN(Create_PC!P4),"")</f>
      </c>
      <c r="F11" s="240"/>
      <c r="G11" s="322" t="str">
        <f>CONCATENATE(Create_PC!R4,", ",Create_PC!S4)</f>
        <v>, </v>
      </c>
      <c r="H11" s="322"/>
      <c r="I11" s="322"/>
      <c r="J11" s="322"/>
      <c r="K11" s="323"/>
      <c r="M11" s="283" t="s">
        <v>55</v>
      </c>
      <c r="N11" s="259"/>
      <c r="O11" s="259"/>
      <c r="P11" s="289">
        <f>IF(Name&lt;&gt;"",SUM(3+LEN(Create_PC!V4)),"")</f>
      </c>
      <c r="Q11" s="328"/>
      <c r="R11" s="321" t="str">
        <f>CONCATENATE(Create_PC!X4,", ",Create_PC!Y4)</f>
        <v>, </v>
      </c>
      <c r="S11" s="321"/>
      <c r="T11" s="321"/>
      <c r="U11" s="321"/>
      <c r="V11" s="321"/>
      <c r="W11" s="21">
        <v>3</v>
      </c>
      <c r="X11" s="283" t="str">
        <f>Create_PC!C16</f>
        <v>Computers</v>
      </c>
      <c r="Y11" s="259"/>
      <c r="Z11" s="259"/>
      <c r="AA11" s="240">
        <f>IF(Create_PC!B16&lt;&gt;"",LEN(Create_PC!B16),"")</f>
      </c>
      <c r="AB11" s="240"/>
      <c r="AC11" s="319" t="str">
        <f>CONCATENATE(Create_PC!D16,", ",Create_PC!E16)</f>
        <v>, </v>
      </c>
      <c r="AD11" s="319"/>
      <c r="AE11" s="319"/>
      <c r="AF11" s="319"/>
      <c r="AG11" s="320"/>
    </row>
    <row r="12" spans="2:33" ht="18.75" customHeight="1">
      <c r="B12" s="283" t="s">
        <v>24</v>
      </c>
      <c r="C12" s="259"/>
      <c r="D12" s="259"/>
      <c r="E12" s="240">
        <f>IF(Create_PC!P5&lt;&gt;"",LEN(Create_PC!P5),"")</f>
      </c>
      <c r="F12" s="240"/>
      <c r="G12" s="322" t="str">
        <f>CONCATENATE(Create_PC!R5,", ",Create_PC!S5)</f>
        <v>, </v>
      </c>
      <c r="H12" s="322"/>
      <c r="I12" s="322"/>
      <c r="J12" s="322"/>
      <c r="K12" s="323"/>
      <c r="M12" s="283" t="s">
        <v>21</v>
      </c>
      <c r="N12" s="259"/>
      <c r="O12" s="259"/>
      <c r="P12" s="289">
        <f>IF(Name&lt;&gt;"",SUM(3+LEN(Create_PC!V5)),"")</f>
      </c>
      <c r="Q12" s="328"/>
      <c r="R12" s="321" t="str">
        <f>CONCATENATE(Create_PC!X5,", ",Create_PC!Y5)</f>
        <v>, </v>
      </c>
      <c r="S12" s="321"/>
      <c r="T12" s="321"/>
      <c r="U12" s="321"/>
      <c r="V12" s="321"/>
      <c r="W12" s="21">
        <v>3</v>
      </c>
      <c r="X12" s="283" t="str">
        <f>Create_PC!C17</f>
        <v>Finance</v>
      </c>
      <c r="Y12" s="259"/>
      <c r="Z12" s="259"/>
      <c r="AA12" s="240">
        <f>IF(Create_PC!B17&lt;&gt;"",LEN(Create_PC!B17),"")</f>
      </c>
      <c r="AB12" s="240"/>
      <c r="AC12" s="319" t="str">
        <f>CONCATENATE(Create_PC!D17,", ",Create_PC!E17)</f>
        <v>, </v>
      </c>
      <c r="AD12" s="319"/>
      <c r="AE12" s="319"/>
      <c r="AF12" s="319"/>
      <c r="AG12" s="320"/>
    </row>
    <row r="13" spans="2:37" ht="18.75" customHeight="1">
      <c r="B13" s="283" t="s">
        <v>25</v>
      </c>
      <c r="C13" s="259"/>
      <c r="D13" s="259"/>
      <c r="E13" s="240">
        <f>IF(Create_PC!P6&lt;&gt;"",LEN(Create_PC!P6),"")</f>
      </c>
      <c r="F13" s="240"/>
      <c r="G13" s="322" t="str">
        <f>CONCATENATE(Create_PC!R6,", ",Create_PC!S6)</f>
        <v>, </v>
      </c>
      <c r="H13" s="322"/>
      <c r="I13" s="322"/>
      <c r="J13" s="322"/>
      <c r="K13" s="323"/>
      <c r="M13" s="283" t="s">
        <v>19</v>
      </c>
      <c r="N13" s="259"/>
      <c r="O13" s="259"/>
      <c r="P13" s="289">
        <f>IF(Name&lt;&gt;"",SUM(3+LEN(Create_PC!V6)),"")</f>
      </c>
      <c r="Q13" s="328"/>
      <c r="R13" s="321" t="str">
        <f>CONCATENATE(Create_PC!X6,", ",Create_PC!Y6)</f>
        <v>, </v>
      </c>
      <c r="S13" s="321"/>
      <c r="T13" s="321"/>
      <c r="U13" s="321"/>
      <c r="V13" s="321"/>
      <c r="W13" s="21">
        <v>3</v>
      </c>
      <c r="X13" s="283" t="str">
        <f>Create_PC!C18</f>
        <v>Electronics</v>
      </c>
      <c r="Y13" s="259"/>
      <c r="Z13" s="259"/>
      <c r="AA13" s="240">
        <f>IF(Create_PC!B18&lt;&gt;"",LEN(Create_PC!B18),"")</f>
      </c>
      <c r="AB13" s="240"/>
      <c r="AC13" s="319" t="str">
        <f>CONCATENATE(Create_PC!D18,", ",Create_PC!E18)</f>
        <v>, </v>
      </c>
      <c r="AD13" s="319"/>
      <c r="AE13" s="319"/>
      <c r="AF13" s="319"/>
      <c r="AG13" s="320"/>
      <c r="AK13" s="45">
        <f>Create_PC!K11</f>
        <v>0</v>
      </c>
    </row>
    <row r="14" spans="2:33" ht="18.75" customHeight="1">
      <c r="B14" s="283" t="s">
        <v>23</v>
      </c>
      <c r="C14" s="259"/>
      <c r="D14" s="259"/>
      <c r="E14" s="240">
        <f>IF(Create_PC!P7&lt;&gt;"",LEN(Create_PC!P7),"")</f>
      </c>
      <c r="F14" s="240"/>
      <c r="G14" s="322" t="str">
        <f>CONCATENATE(Create_PC!R7,", ",Create_PC!S7)</f>
        <v>, </v>
      </c>
      <c r="H14" s="322"/>
      <c r="I14" s="322"/>
      <c r="J14" s="322"/>
      <c r="K14" s="323"/>
      <c r="M14" s="283" t="s">
        <v>18</v>
      </c>
      <c r="N14" s="259"/>
      <c r="O14" s="259"/>
      <c r="P14" s="289">
        <f>IF(Name&lt;&gt;"",SUM(3+LEN(Create_PC!V7)),"")</f>
      </c>
      <c r="Q14" s="328"/>
      <c r="R14" s="321" t="str">
        <f>CONCATENATE(Create_PC!X7,", ",Create_PC!Y7)</f>
        <v>, </v>
      </c>
      <c r="S14" s="321"/>
      <c r="T14" s="321"/>
      <c r="U14" s="321"/>
      <c r="V14" s="321"/>
      <c r="W14" s="21">
        <v>3</v>
      </c>
      <c r="X14" s="283" t="str">
        <f>Create_PC!C19</f>
        <v>Mechanics</v>
      </c>
      <c r="Y14" s="259"/>
      <c r="Z14" s="259"/>
      <c r="AA14" s="240">
        <f>IF(Create_PC!B19&lt;&gt;"",LEN(Create_PC!B19),"")</f>
      </c>
      <c r="AB14" s="240"/>
      <c r="AC14" s="319" t="str">
        <f>CONCATENATE(Create_PC!D19,", ",Create_PC!E19)</f>
        <v>, </v>
      </c>
      <c r="AD14" s="319"/>
      <c r="AE14" s="319"/>
      <c r="AF14" s="319"/>
      <c r="AG14" s="320"/>
    </row>
    <row r="15" spans="2:33" ht="18.75" customHeight="1">
      <c r="B15" s="283" t="s">
        <v>26</v>
      </c>
      <c r="C15" s="259"/>
      <c r="D15" s="259"/>
      <c r="E15" s="240">
        <f>IF(Create_PC!P8&lt;&gt;"",LEN(Create_PC!P8),"")</f>
      </c>
      <c r="F15" s="240"/>
      <c r="G15" s="322" t="str">
        <f>CONCATENATE(Create_PC!R8,", ",Create_PC!S8)</f>
        <v>, </v>
      </c>
      <c r="H15" s="322"/>
      <c r="I15" s="322"/>
      <c r="J15" s="322"/>
      <c r="K15" s="323"/>
      <c r="M15" s="283" t="s">
        <v>22</v>
      </c>
      <c r="N15" s="259"/>
      <c r="O15" s="259"/>
      <c r="P15" s="289">
        <f>IF(Name&lt;&gt;"",SUM(6+LEN(Create_PC!V8)),"")</f>
      </c>
      <c r="Q15" s="328"/>
      <c r="R15" s="321" t="str">
        <f>CONCATENATE(Create_PC!X8,", ",Create_PC!Y8)</f>
        <v>, </v>
      </c>
      <c r="S15" s="321"/>
      <c r="T15" s="321"/>
      <c r="U15" s="321"/>
      <c r="V15" s="321"/>
      <c r="W15" s="21">
        <v>6</v>
      </c>
      <c r="X15" s="283" t="str">
        <f>Create_PC!C20</f>
        <v>Security</v>
      </c>
      <c r="Y15" s="259"/>
      <c r="Z15" s="259"/>
      <c r="AA15" s="240">
        <f>IF(Create_PC!B20&lt;&gt;"",LEN(Create_PC!B20),"")</f>
      </c>
      <c r="AB15" s="240"/>
      <c r="AC15" s="319" t="str">
        <f>CONCATENATE(Create_PC!D20,", ",Create_PC!E20)</f>
        <v>, </v>
      </c>
      <c r="AD15" s="319"/>
      <c r="AE15" s="319"/>
      <c r="AF15" s="319"/>
      <c r="AG15" s="320"/>
    </row>
    <row r="16" spans="2:33" ht="18.75" customHeight="1" thickBot="1">
      <c r="B16" s="281" t="s">
        <v>56</v>
      </c>
      <c r="C16" s="282"/>
      <c r="D16" s="282"/>
      <c r="E16" s="240">
        <f>IF(Create_PC!P9&lt;&gt;"",LEN(Create_PC!P9),"")</f>
      </c>
      <c r="F16" s="240"/>
      <c r="G16" s="322" t="str">
        <f>CONCATENATE(Create_PC!R9,", ",Create_PC!S9)</f>
        <v>, </v>
      </c>
      <c r="H16" s="322"/>
      <c r="I16" s="322"/>
      <c r="J16" s="322"/>
      <c r="K16" s="323"/>
      <c r="M16" s="281" t="s">
        <v>20</v>
      </c>
      <c r="N16" s="282"/>
      <c r="O16" s="282"/>
      <c r="P16" s="287">
        <f>IF(Name&lt;&gt;"",SUM(6+LEN(Create_PC!V9)),"")</f>
      </c>
      <c r="Q16" s="325"/>
      <c r="R16" s="321" t="str">
        <f>CONCATENATE(Create_PC!X9,", ",Create_PC!Y9)</f>
        <v>, </v>
      </c>
      <c r="S16" s="321"/>
      <c r="T16" s="321"/>
      <c r="U16" s="321"/>
      <c r="V16" s="321"/>
      <c r="W16" s="21">
        <v>6</v>
      </c>
      <c r="X16" s="283" t="str">
        <f>Create_PC!C21</f>
        <v>Medicine </v>
      </c>
      <c r="Y16" s="259"/>
      <c r="Z16" s="259"/>
      <c r="AA16" s="240">
        <f>IF(Create_PC!B21&lt;&gt;"",LEN(Create_PC!B21),"")</f>
      </c>
      <c r="AB16" s="240"/>
      <c r="AC16" s="319" t="str">
        <f>CONCATENATE(Create_PC!D21,", ",Create_PC!E21)</f>
        <v>, </v>
      </c>
      <c r="AD16" s="319"/>
      <c r="AE16" s="319"/>
      <c r="AF16" s="319"/>
      <c r="AG16" s="320"/>
    </row>
    <row r="17" ht="2.25" customHeight="1" thickBot="1"/>
    <row r="18" spans="2:33" ht="18.75" customHeight="1">
      <c r="B18" s="278" t="s">
        <v>67</v>
      </c>
      <c r="C18" s="279"/>
      <c r="D18" s="279"/>
      <c r="E18" s="279"/>
      <c r="F18" s="279"/>
      <c r="G18" s="279"/>
      <c r="H18" s="279"/>
      <c r="I18" s="279"/>
      <c r="J18" s="279"/>
      <c r="K18" s="280"/>
      <c r="M18" s="284" t="str">
        <f>IF(Genre="Terror Network","VEHICLE"," NOTES:  ")</f>
        <v> NOTES:  </v>
      </c>
      <c r="N18" s="285"/>
      <c r="O18" s="285"/>
      <c r="P18" s="285"/>
      <c r="Q18" s="285"/>
      <c r="R18" s="285"/>
      <c r="S18" s="285"/>
      <c r="T18" s="285"/>
      <c r="U18" s="285"/>
      <c r="V18" s="286"/>
      <c r="X18" s="278" t="s">
        <v>68</v>
      </c>
      <c r="Y18" s="279"/>
      <c r="Z18" s="279"/>
      <c r="AA18" s="279"/>
      <c r="AB18" s="279"/>
      <c r="AC18" s="279"/>
      <c r="AD18" s="279"/>
      <c r="AE18" s="279"/>
      <c r="AF18" s="279"/>
      <c r="AG18" s="280"/>
    </row>
    <row r="19" spans="2:42" ht="18.75" customHeight="1">
      <c r="B19" s="275" t="s">
        <v>193</v>
      </c>
      <c r="C19" s="276"/>
      <c r="D19" s="276"/>
      <c r="E19" s="273" t="s">
        <v>209</v>
      </c>
      <c r="F19" s="273"/>
      <c r="G19" s="273" t="s">
        <v>195</v>
      </c>
      <c r="H19" s="273"/>
      <c r="I19" s="273"/>
      <c r="J19" s="273"/>
      <c r="K19" s="274"/>
      <c r="M19" s="275" t="s">
        <v>193</v>
      </c>
      <c r="N19" s="276"/>
      <c r="O19" s="276"/>
      <c r="P19" s="273" t="s">
        <v>209</v>
      </c>
      <c r="Q19" s="273"/>
      <c r="R19" s="273" t="s">
        <v>195</v>
      </c>
      <c r="S19" s="273"/>
      <c r="T19" s="273"/>
      <c r="U19" s="273"/>
      <c r="V19" s="274"/>
      <c r="X19" s="275" t="s">
        <v>193</v>
      </c>
      <c r="Y19" s="276"/>
      <c r="Z19" s="276"/>
      <c r="AA19" s="273" t="s">
        <v>209</v>
      </c>
      <c r="AB19" s="273"/>
      <c r="AC19" s="273" t="s">
        <v>195</v>
      </c>
      <c r="AD19" s="273"/>
      <c r="AE19" s="273"/>
      <c r="AF19" s="273"/>
      <c r="AG19" s="274"/>
      <c r="AP19" s="27"/>
    </row>
    <row r="20" spans="2:33" ht="18.75" customHeight="1">
      <c r="B20" s="283" t="s">
        <v>31</v>
      </c>
      <c r="C20" s="259"/>
      <c r="D20" s="259"/>
      <c r="E20" s="240">
        <f>IF(Create_PC!P14&lt;&gt;"",LEN(Create_PC!P14),"")</f>
      </c>
      <c r="F20" s="240"/>
      <c r="G20" s="319" t="str">
        <f>CONCATENATE(Create_PC!R14,", ",Create_PC!S14)</f>
        <v>, </v>
      </c>
      <c r="H20" s="319"/>
      <c r="I20" s="319"/>
      <c r="J20" s="319"/>
      <c r="K20" s="320"/>
      <c r="M20" s="283" t="s">
        <v>42</v>
      </c>
      <c r="N20" s="259"/>
      <c r="O20" s="259"/>
      <c r="P20" s="240">
        <f>IF(Create_PC!V14&lt;&gt;"",LEN(Create_PC!V14),"")</f>
      </c>
      <c r="Q20" s="240"/>
      <c r="R20" s="319" t="str">
        <f>CONCATENATE(Create_PC!X14,", ",Create_PC!Y14)</f>
        <v>, </v>
      </c>
      <c r="S20" s="319"/>
      <c r="T20" s="319"/>
      <c r="U20" s="319"/>
      <c r="V20" s="320"/>
      <c r="X20" s="283" t="str">
        <f>Create_PC!Q24</f>
        <v>Bully</v>
      </c>
      <c r="Y20" s="259"/>
      <c r="Z20" s="259"/>
      <c r="AA20" s="240">
        <f>IF(Create_PC!P24&lt;&gt;"",LEN(Create_PC!P24),"")</f>
      </c>
      <c r="AB20" s="240"/>
      <c r="AC20" s="319" t="str">
        <f>CONCATENATE(Create_PC!R24,", ",Create_PC!S24)</f>
        <v>, </v>
      </c>
      <c r="AD20" s="319"/>
      <c r="AE20" s="319"/>
      <c r="AF20" s="319"/>
      <c r="AG20" s="320"/>
    </row>
    <row r="21" spans="2:33" ht="18.75" customHeight="1">
      <c r="B21" s="283" t="s">
        <v>28</v>
      </c>
      <c r="C21" s="259"/>
      <c r="D21" s="259"/>
      <c r="E21" s="240">
        <f>IF(Create_PC!P15&lt;&gt;"",LEN(Create_PC!P15),"")</f>
      </c>
      <c r="F21" s="240"/>
      <c r="G21" s="319" t="str">
        <f>CONCATENATE(Create_PC!R15,", ",Create_PC!S15)</f>
        <v>, </v>
      </c>
      <c r="H21" s="319"/>
      <c r="I21" s="319"/>
      <c r="J21" s="319"/>
      <c r="K21" s="320"/>
      <c r="M21" s="283" t="s">
        <v>40</v>
      </c>
      <c r="N21" s="259"/>
      <c r="O21" s="259"/>
      <c r="P21" s="240">
        <f>IF(Create_PC!V15&lt;&gt;"",LEN(Create_PC!V15),"")</f>
      </c>
      <c r="Q21" s="240"/>
      <c r="R21" s="319" t="str">
        <f>CONCATENATE(Create_PC!X15,", ",Create_PC!Y15)</f>
        <v>, </v>
      </c>
      <c r="S21" s="319"/>
      <c r="T21" s="319"/>
      <c r="U21" s="319"/>
      <c r="V21" s="320"/>
      <c r="X21" s="283" t="str">
        <f>Create_PC!Q25</f>
        <v>Manipulation</v>
      </c>
      <c r="Y21" s="259"/>
      <c r="Z21" s="259"/>
      <c r="AA21" s="240">
        <f>IF(Create_PC!P25&lt;&gt;"",LEN(Create_PC!P25),"")</f>
      </c>
      <c r="AB21" s="240"/>
      <c r="AC21" s="319" t="str">
        <f>CONCATENATE(Create_PC!R25,", ",Create_PC!S25)</f>
        <v>, </v>
      </c>
      <c r="AD21" s="319"/>
      <c r="AE21" s="319"/>
      <c r="AF21" s="319"/>
      <c r="AG21" s="320"/>
    </row>
    <row r="22" spans="2:33" ht="18.75" customHeight="1">
      <c r="B22" s="283" t="s">
        <v>29</v>
      </c>
      <c r="C22" s="259"/>
      <c r="D22" s="259"/>
      <c r="E22" s="240">
        <f>IF(Create_PC!P16&lt;&gt;"",LEN(Create_PC!P16),"")</f>
      </c>
      <c r="F22" s="240"/>
      <c r="G22" s="319" t="str">
        <f>CONCATENATE(Create_PC!R16,", ",Create_PC!S16)</f>
        <v>, </v>
      </c>
      <c r="H22" s="319"/>
      <c r="I22" s="319"/>
      <c r="J22" s="319"/>
      <c r="K22" s="320"/>
      <c r="M22" s="283" t="s">
        <v>63</v>
      </c>
      <c r="N22" s="259"/>
      <c r="O22" s="259"/>
      <c r="P22" s="240">
        <f>IF(Create_PC!V16&lt;&gt;"",LEN(Create_PC!V16),"")</f>
      </c>
      <c r="Q22" s="240"/>
      <c r="R22" s="319" t="str">
        <f>CONCATENATE(Create_PC!X16,", ",Create_PC!Y16)</f>
        <v>, </v>
      </c>
      <c r="S22" s="319"/>
      <c r="T22" s="319"/>
      <c r="U22" s="319"/>
      <c r="V22" s="320"/>
      <c r="X22" s="283" t="str">
        <f>Create_PC!Q26</f>
        <v>Reasoning</v>
      </c>
      <c r="Y22" s="259"/>
      <c r="Z22" s="259"/>
      <c r="AA22" s="240">
        <f>IF(Create_PC!P26&lt;&gt;"",LEN(Create_PC!P26),"")</f>
      </c>
      <c r="AB22" s="240"/>
      <c r="AC22" s="319" t="str">
        <f>CONCATENATE(Create_PC!R26,", ",Create_PC!S26)</f>
        <v>, </v>
      </c>
      <c r="AD22" s="319"/>
      <c r="AE22" s="319"/>
      <c r="AF22" s="319"/>
      <c r="AG22" s="320"/>
    </row>
    <row r="23" spans="2:33" ht="18.75" customHeight="1">
      <c r="B23" s="283" t="s">
        <v>30</v>
      </c>
      <c r="C23" s="259"/>
      <c r="D23" s="259"/>
      <c r="E23" s="240">
        <f>IF(Create_PC!P17&lt;&gt;"",LEN(Create_PC!P17),"")</f>
      </c>
      <c r="F23" s="240"/>
      <c r="G23" s="319" t="str">
        <f>CONCATENATE(Create_PC!R17,", ",Create_PC!S17)</f>
        <v>, </v>
      </c>
      <c r="H23" s="319"/>
      <c r="I23" s="319"/>
      <c r="J23" s="319"/>
      <c r="K23" s="320"/>
      <c r="M23" s="283" t="s">
        <v>64</v>
      </c>
      <c r="N23" s="259"/>
      <c r="O23" s="259"/>
      <c r="P23" s="240">
        <f>IF(Create_PC!V17&lt;&gt;"",LEN(Create_PC!V17),"")</f>
      </c>
      <c r="Q23" s="240"/>
      <c r="R23" s="319" t="str">
        <f>CONCATENATE(Create_PC!X17,", ",Create_PC!Y17)</f>
        <v>, </v>
      </c>
      <c r="S23" s="319"/>
      <c r="T23" s="319"/>
      <c r="U23" s="319"/>
      <c r="V23" s="320"/>
      <c r="X23" s="283" t="str">
        <f>Create_PC!Q27</f>
        <v>Empathy</v>
      </c>
      <c r="Y23" s="259"/>
      <c r="Z23" s="259"/>
      <c r="AA23" s="240">
        <f>IF(Create_PC!P27&lt;&gt;"",LEN(Create_PC!P27),"")</f>
      </c>
      <c r="AB23" s="240"/>
      <c r="AC23" s="319" t="str">
        <f>CONCATENATE(Create_PC!R27,", ",Create_PC!S27)</f>
        <v>, </v>
      </c>
      <c r="AD23" s="319"/>
      <c r="AE23" s="319"/>
      <c r="AF23" s="319"/>
      <c r="AG23" s="320"/>
    </row>
    <row r="24" spans="2:33" ht="18.75" customHeight="1">
      <c r="B24" s="283" t="s">
        <v>32</v>
      </c>
      <c r="C24" s="259"/>
      <c r="D24" s="259"/>
      <c r="E24" s="240">
        <f>IF(Create_PC!P18&lt;&gt;"",LEN(Create_PC!P18),"")</f>
      </c>
      <c r="F24" s="240"/>
      <c r="G24" s="319" t="str">
        <f>CONCATENATE(Create_PC!R18,", ",Create_PC!S18)</f>
        <v>, </v>
      </c>
      <c r="H24" s="319"/>
      <c r="I24" s="319"/>
      <c r="J24" s="319"/>
      <c r="K24" s="320"/>
      <c r="M24" s="283" t="s">
        <v>43</v>
      </c>
      <c r="N24" s="259"/>
      <c r="O24" s="259"/>
      <c r="P24" s="240">
        <f>IF(Create_PC!V18&lt;&gt;"",LEN(Create_PC!V18),"")</f>
      </c>
      <c r="Q24" s="240"/>
      <c r="R24" s="319" t="str">
        <f>CONCATENATE(Create_PC!X18,", ",Create_PC!Y18)</f>
        <v>, </v>
      </c>
      <c r="S24" s="319"/>
      <c r="T24" s="319"/>
      <c r="U24" s="319"/>
      <c r="V24" s="320"/>
      <c r="X24" s="283" t="str">
        <f>Create_PC!Q28</f>
        <v>Lying</v>
      </c>
      <c r="Y24" s="259"/>
      <c r="Z24" s="259"/>
      <c r="AA24" s="240">
        <f>IF(Create_PC!P28&lt;&gt;"",LEN(Create_PC!P28),"")</f>
      </c>
      <c r="AB24" s="240"/>
      <c r="AC24" s="319" t="str">
        <f>CONCATENATE(Create_PC!R28,", ",Create_PC!S28)</f>
        <v>, </v>
      </c>
      <c r="AD24" s="319"/>
      <c r="AE24" s="319"/>
      <c r="AF24" s="319"/>
      <c r="AG24" s="320"/>
    </row>
    <row r="25" spans="2:33" ht="18.75" customHeight="1" thickBot="1">
      <c r="B25" s="281" t="s">
        <v>33</v>
      </c>
      <c r="C25" s="282"/>
      <c r="D25" s="282"/>
      <c r="E25" s="240">
        <f>IF(Create_PC!P19&lt;&gt;"",LEN(Create_PC!P19),"")</f>
      </c>
      <c r="F25" s="240"/>
      <c r="G25" s="319" t="str">
        <f>CONCATENATE(Create_PC!R19,", ",Create_PC!S19)</f>
        <v>, </v>
      </c>
      <c r="H25" s="319"/>
      <c r="I25" s="319"/>
      <c r="J25" s="319"/>
      <c r="K25" s="320"/>
      <c r="M25" s="281" t="s">
        <v>41</v>
      </c>
      <c r="N25" s="282"/>
      <c r="O25" s="282"/>
      <c r="P25" s="240">
        <f>IF(Create_PC!V19&lt;&gt;"",LEN(Create_PC!V19),"")</f>
      </c>
      <c r="Q25" s="240"/>
      <c r="R25" s="319" t="str">
        <f>CONCATENATE(Create_PC!X19,", ",Create_PC!Y19)</f>
        <v>, </v>
      </c>
      <c r="S25" s="319"/>
      <c r="T25" s="319"/>
      <c r="U25" s="319"/>
      <c r="V25" s="320"/>
      <c r="X25" s="283" t="str">
        <f>Create_PC!Q29</f>
        <v>Detect</v>
      </c>
      <c r="Y25" s="259"/>
      <c r="Z25" s="259"/>
      <c r="AA25" s="240">
        <f>IF(Create_PC!P29&lt;&gt;"",LEN(Create_PC!P29),"")</f>
      </c>
      <c r="AB25" s="240"/>
      <c r="AC25" s="319" t="str">
        <f>CONCATENATE(Create_PC!R29,", ",Create_PC!S29)</f>
        <v>, </v>
      </c>
      <c r="AD25" s="319"/>
      <c r="AE25" s="319"/>
      <c r="AF25" s="319"/>
      <c r="AG25" s="320"/>
    </row>
    <row r="26" ht="5.25" customHeight="1" thickBot="1"/>
    <row r="27" spans="2:33" ht="18.75" customHeight="1">
      <c r="B27" s="239" t="s">
        <v>207</v>
      </c>
      <c r="C27" s="239"/>
      <c r="D27" s="239"/>
      <c r="E27" s="239"/>
      <c r="F27" s="239" t="s">
        <v>51</v>
      </c>
      <c r="G27" s="239"/>
      <c r="H27" s="239"/>
      <c r="I27" s="239"/>
      <c r="J27" s="239"/>
      <c r="K27" s="239"/>
      <c r="L27" s="277" t="s">
        <v>208</v>
      </c>
      <c r="M27" s="277"/>
      <c r="N27" s="277"/>
      <c r="O27" s="277"/>
      <c r="P27" s="277"/>
      <c r="Q27" s="277"/>
      <c r="R27" s="277"/>
      <c r="S27" s="277"/>
      <c r="T27" s="277"/>
      <c r="U27" s="277"/>
      <c r="V27" s="277"/>
      <c r="X27" s="278" t="s">
        <v>69</v>
      </c>
      <c r="Y27" s="279"/>
      <c r="Z27" s="279"/>
      <c r="AA27" s="279"/>
      <c r="AB27" s="279"/>
      <c r="AC27" s="279"/>
      <c r="AD27" s="279"/>
      <c r="AE27" s="279"/>
      <c r="AF27" s="279"/>
      <c r="AG27" s="280"/>
    </row>
    <row r="28" spans="2:33" ht="18.75" customHeight="1">
      <c r="B28" s="272">
        <f>IF(Create_PC!B26&gt;"",Create_PC!B26,"")</f>
      </c>
      <c r="C28" s="272"/>
      <c r="D28" s="272"/>
      <c r="E28" s="272"/>
      <c r="F28" s="324">
        <f>IF(Create_PC!D26&gt;"",Create_PC!D26,"")</f>
      </c>
      <c r="G28" s="324"/>
      <c r="H28" s="324"/>
      <c r="I28" s="324"/>
      <c r="J28" s="324"/>
      <c r="K28" s="324"/>
      <c r="L28" s="324">
        <f>IF(Create_PC!F26&gt;"",Create_PC!F26,"")</f>
      </c>
      <c r="M28" s="324"/>
      <c r="N28" s="324"/>
      <c r="O28" s="324"/>
      <c r="P28" s="324"/>
      <c r="Q28" s="324"/>
      <c r="R28" s="324"/>
      <c r="S28" s="324"/>
      <c r="T28" s="324"/>
      <c r="U28" s="324"/>
      <c r="V28" s="324"/>
      <c r="X28" s="275" t="s">
        <v>193</v>
      </c>
      <c r="Y28" s="276"/>
      <c r="Z28" s="276"/>
      <c r="AA28" s="273" t="s">
        <v>209</v>
      </c>
      <c r="AB28" s="273"/>
      <c r="AC28" s="273" t="s">
        <v>195</v>
      </c>
      <c r="AD28" s="273"/>
      <c r="AE28" s="273"/>
      <c r="AF28" s="273"/>
      <c r="AG28" s="274"/>
    </row>
    <row r="29" spans="2:33" ht="18.75" customHeight="1">
      <c r="B29" s="272"/>
      <c r="C29" s="272"/>
      <c r="D29" s="272"/>
      <c r="E29" s="272"/>
      <c r="F29" s="324"/>
      <c r="G29" s="324"/>
      <c r="H29" s="324"/>
      <c r="I29" s="324"/>
      <c r="J29" s="324"/>
      <c r="K29" s="324"/>
      <c r="L29" s="324"/>
      <c r="M29" s="324"/>
      <c r="N29" s="324"/>
      <c r="O29" s="324"/>
      <c r="P29" s="324"/>
      <c r="Q29" s="324"/>
      <c r="R29" s="324"/>
      <c r="S29" s="324"/>
      <c r="T29" s="324"/>
      <c r="U29" s="324"/>
      <c r="V29" s="324"/>
      <c r="X29" s="243" t="str">
        <f>CONCATENATE(VLOOKUP(Create_PC!H16,spcl,3,)," ",Create_PC!I16)</f>
        <v>Crime: </v>
      </c>
      <c r="Y29" s="244"/>
      <c r="Z29" s="244"/>
      <c r="AA29" s="240">
        <f>IF(Create_PC!G16&lt;&gt;"",LEN(Create_PC!G16),"")</f>
      </c>
      <c r="AB29" s="240"/>
      <c r="AC29" s="319"/>
      <c r="AD29" s="319"/>
      <c r="AE29" s="319"/>
      <c r="AF29" s="319"/>
      <c r="AG29" s="320"/>
    </row>
    <row r="30" spans="2:33" ht="18.75" customHeight="1">
      <c r="B30" s="272">
        <f>IF(Create_PC!B27&gt;"",Create_PC!B27,"")</f>
      </c>
      <c r="C30" s="272"/>
      <c r="D30" s="272"/>
      <c r="E30" s="272"/>
      <c r="F30" s="324">
        <f>IF(Create_PC!D27&gt;"",Create_PC!D27,"")</f>
      </c>
      <c r="G30" s="324"/>
      <c r="H30" s="324"/>
      <c r="I30" s="324"/>
      <c r="J30" s="324"/>
      <c r="K30" s="324"/>
      <c r="L30" s="324">
        <f>IF(Create_PC!F27&gt;"",Create_PC!F27,"")</f>
      </c>
      <c r="M30" s="324"/>
      <c r="N30" s="324"/>
      <c r="O30" s="324"/>
      <c r="P30" s="324"/>
      <c r="Q30" s="324"/>
      <c r="R30" s="324"/>
      <c r="S30" s="324"/>
      <c r="T30" s="324"/>
      <c r="U30" s="324"/>
      <c r="V30" s="324"/>
      <c r="X30" s="243" t="str">
        <f>CONCATENATE(VLOOKUP(Create_PC!H17,spcl,3,)," ",Create_PC!I17)</f>
        <v>Talent: </v>
      </c>
      <c r="Y30" s="244"/>
      <c r="Z30" s="244"/>
      <c r="AA30" s="240">
        <f>IF(Create_PC!G17&lt;&gt;"",LEN(Create_PC!G17),"")</f>
      </c>
      <c r="AB30" s="240"/>
      <c r="AC30" s="319"/>
      <c r="AD30" s="319"/>
      <c r="AE30" s="319"/>
      <c r="AF30" s="319"/>
      <c r="AG30" s="320"/>
    </row>
    <row r="31" spans="2:33" ht="18.75" customHeight="1">
      <c r="B31" s="272"/>
      <c r="C31" s="272"/>
      <c r="D31" s="272"/>
      <c r="E31" s="272"/>
      <c r="F31" s="324"/>
      <c r="G31" s="324"/>
      <c r="H31" s="324"/>
      <c r="I31" s="324"/>
      <c r="J31" s="324"/>
      <c r="K31" s="324"/>
      <c r="L31" s="324"/>
      <c r="M31" s="324"/>
      <c r="N31" s="324"/>
      <c r="O31" s="324"/>
      <c r="P31" s="324"/>
      <c r="Q31" s="324"/>
      <c r="R31" s="324"/>
      <c r="S31" s="324"/>
      <c r="T31" s="324"/>
      <c r="U31" s="324"/>
      <c r="V31" s="324"/>
      <c r="X31" s="243" t="str">
        <f>CONCATENATE(VLOOKUP(Create_PC!H18,spcl,3,)," ",Create_PC!I18)</f>
        <v>Org: </v>
      </c>
      <c r="Y31" s="244"/>
      <c r="Z31" s="244"/>
      <c r="AA31" s="240">
        <f>IF(Create_PC!G18&lt;&gt;"",LEN(Create_PC!G18),"")</f>
      </c>
      <c r="AB31" s="240"/>
      <c r="AC31" s="319"/>
      <c r="AD31" s="319"/>
      <c r="AE31" s="319"/>
      <c r="AF31" s="319"/>
      <c r="AG31" s="320"/>
    </row>
    <row r="32" spans="2:33" ht="18.75" customHeight="1">
      <c r="B32" s="272">
        <f>IF(Create_PC!B28&gt;"",Create_PC!B28,"")</f>
      </c>
      <c r="C32" s="272"/>
      <c r="D32" s="272"/>
      <c r="E32" s="272"/>
      <c r="F32" s="324">
        <f>IF(Create_PC!D28&gt;"",Create_PC!D28,"")</f>
      </c>
      <c r="G32" s="324"/>
      <c r="H32" s="324"/>
      <c r="I32" s="324"/>
      <c r="J32" s="324"/>
      <c r="K32" s="324"/>
      <c r="L32" s="324">
        <f>IF(Create_PC!F28&gt;"",Create_PC!F28,"")</f>
      </c>
      <c r="M32" s="324"/>
      <c r="N32" s="324"/>
      <c r="O32" s="324"/>
      <c r="P32" s="324"/>
      <c r="Q32" s="324"/>
      <c r="R32" s="324"/>
      <c r="S32" s="324"/>
      <c r="T32" s="324"/>
      <c r="U32" s="324"/>
      <c r="V32" s="324"/>
      <c r="X32" s="243" t="str">
        <f>CONCATENATE(VLOOKUP(Create_PC!H19,spcl,3,)," ",Create_PC!I19)</f>
        <v>Things: </v>
      </c>
      <c r="Y32" s="244"/>
      <c r="Z32" s="244"/>
      <c r="AA32" s="240">
        <f>IF(Create_PC!G19&lt;&gt;"",LEN(Create_PC!G19),"")</f>
      </c>
      <c r="AB32" s="240"/>
      <c r="AC32" s="319"/>
      <c r="AD32" s="319"/>
      <c r="AE32" s="319"/>
      <c r="AF32" s="319"/>
      <c r="AG32" s="320"/>
    </row>
    <row r="33" spans="2:33" ht="18.75" customHeight="1" thickBot="1">
      <c r="B33" s="326"/>
      <c r="C33" s="326"/>
      <c r="D33" s="326"/>
      <c r="E33" s="326"/>
      <c r="F33" s="327"/>
      <c r="G33" s="327"/>
      <c r="H33" s="327"/>
      <c r="I33" s="327"/>
      <c r="J33" s="327"/>
      <c r="K33" s="327"/>
      <c r="L33" s="327"/>
      <c r="M33" s="327"/>
      <c r="N33" s="327"/>
      <c r="O33" s="327"/>
      <c r="P33" s="327"/>
      <c r="Q33" s="327"/>
      <c r="R33" s="327"/>
      <c r="S33" s="327"/>
      <c r="T33" s="327"/>
      <c r="U33" s="327"/>
      <c r="V33" s="327"/>
      <c r="X33" s="243" t="str">
        <f>CONCATENATE(VLOOKUP(Create_PC!H20,spcl,3,)," ",Create_PC!I20)</f>
        <v>Things: </v>
      </c>
      <c r="Y33" s="244"/>
      <c r="Z33" s="244"/>
      <c r="AA33" s="240">
        <f>IF(Create_PC!G20&lt;&gt;"",LEN(Create_PC!G20),"")</f>
      </c>
      <c r="AB33" s="240"/>
      <c r="AC33" s="319"/>
      <c r="AD33" s="319"/>
      <c r="AE33" s="319"/>
      <c r="AF33" s="319"/>
      <c r="AG33" s="320"/>
    </row>
    <row r="34" spans="2:33" ht="18.75" customHeight="1" thickBot="1">
      <c r="B34" s="357" t="s">
        <v>221</v>
      </c>
      <c r="C34" s="358"/>
      <c r="D34" s="358"/>
      <c r="E34" s="358"/>
      <c r="F34" s="359"/>
      <c r="G34" s="359"/>
      <c r="H34" s="359"/>
      <c r="I34" s="359"/>
      <c r="J34" s="359"/>
      <c r="K34" s="359"/>
      <c r="L34" s="360" t="str">
        <f>IF(M6&lt;&gt;"",CONCATENATE(clout," ",Create_PC!K11),Create_PC!J11)</f>
        <v>RESPECTABILITY:</v>
      </c>
      <c r="M34" s="361"/>
      <c r="N34" s="361"/>
      <c r="O34" s="361"/>
      <c r="P34" s="361"/>
      <c r="Q34" s="104">
        <v>1</v>
      </c>
      <c r="R34" s="104">
        <v>2</v>
      </c>
      <c r="S34" s="104">
        <v>3</v>
      </c>
      <c r="T34" s="104">
        <v>4</v>
      </c>
      <c r="U34" s="104">
        <v>5</v>
      </c>
      <c r="V34" s="105">
        <v>6</v>
      </c>
      <c r="X34" s="243" t="str">
        <f>CONCATENATE(VLOOKUP(Create_PC!H21,spcl,3,)," ",Create_PC!I21)</f>
        <v>Talent: </v>
      </c>
      <c r="Y34" s="244"/>
      <c r="Z34" s="244"/>
      <c r="AA34" s="240">
        <f>IF(Create_PC!G21&lt;&gt;"",LEN(Create_PC!G21),"")</f>
      </c>
      <c r="AB34" s="314"/>
      <c r="AC34" s="315"/>
      <c r="AD34" s="315"/>
      <c r="AE34" s="315"/>
      <c r="AF34" s="315"/>
      <c r="AG34" s="316"/>
    </row>
    <row r="35" spans="2:33" ht="18.75" customHeight="1">
      <c r="B35" s="313" t="s">
        <v>211</v>
      </c>
      <c r="C35" s="313"/>
      <c r="D35" s="313"/>
      <c r="E35" s="313"/>
      <c r="F35" s="313"/>
      <c r="G35" s="313"/>
      <c r="H35" s="313" t="s">
        <v>220</v>
      </c>
      <c r="I35" s="313"/>
      <c r="J35" s="313" t="s">
        <v>212</v>
      </c>
      <c r="K35" s="313"/>
      <c r="L35" s="313"/>
      <c r="M35" s="313" t="s">
        <v>213</v>
      </c>
      <c r="N35" s="313"/>
      <c r="O35" s="313"/>
      <c r="P35" s="313" t="s">
        <v>214</v>
      </c>
      <c r="Q35" s="313"/>
      <c r="R35" s="313"/>
      <c r="S35" s="313" t="s">
        <v>215</v>
      </c>
      <c r="T35" s="313"/>
      <c r="U35" s="313"/>
      <c r="V35" s="313"/>
      <c r="X35" s="243">
        <f>IF(Create_PC!H22&lt;&gt;"",Create_PC!H22,"")</f>
      </c>
      <c r="Y35" s="244"/>
      <c r="Z35" s="244"/>
      <c r="AA35" s="240">
        <f>IF(Create_PC!G22&lt;&gt;"",LEN(Create_PC!G22),"")</f>
      </c>
      <c r="AB35" s="314"/>
      <c r="AC35" s="315"/>
      <c r="AD35" s="315"/>
      <c r="AE35" s="315"/>
      <c r="AF35" s="315"/>
      <c r="AG35" s="316"/>
    </row>
    <row r="36" spans="2:33" ht="18.75" customHeight="1">
      <c r="B36" s="259">
        <f>IF(Create_PC!B31&gt;"",Create_PC!B31,"")</f>
      </c>
      <c r="C36" s="259"/>
      <c r="D36" s="259"/>
      <c r="E36" s="259"/>
      <c r="F36" s="259"/>
      <c r="G36" s="259"/>
      <c r="H36" s="259"/>
      <c r="I36" s="259"/>
      <c r="J36" s="259">
        <f>IF($B:$B&gt;"",VLOOKUP($B:$B,Lup1,5,),"")</f>
      </c>
      <c r="K36" s="259"/>
      <c r="L36" s="259"/>
      <c r="M36" s="259">
        <f>IF($B:$B&gt;"",VLOOKUP($B:$B,Lup1,6,),"")</f>
      </c>
      <c r="N36" s="259"/>
      <c r="O36" s="259"/>
      <c r="P36" s="259">
        <f>IF($B:$B&gt;"",VLOOKUP($B:$B,Lup1,4,),"")</f>
      </c>
      <c r="Q36" s="259"/>
      <c r="R36" s="259"/>
      <c r="S36" s="259">
        <f>IF($B:$B&gt;"",VLOOKUP($B:$B,Lup1,2,),"")</f>
      </c>
      <c r="T36" s="259"/>
      <c r="U36" s="259"/>
      <c r="V36" s="259"/>
      <c r="X36" s="243">
        <f>IF(Create_PC!H23&lt;&gt;"",Create_PC!H23,"")</f>
      </c>
      <c r="Y36" s="244"/>
      <c r="Z36" s="244"/>
      <c r="AA36" s="240">
        <f>IF(Create_PC!G23&lt;&gt;"",LEN(Create_PC!G23),"")</f>
      </c>
      <c r="AB36" s="314"/>
      <c r="AC36" s="315"/>
      <c r="AD36" s="315"/>
      <c r="AE36" s="315"/>
      <c r="AF36" s="315"/>
      <c r="AG36" s="316"/>
    </row>
    <row r="37" spans="2:33" ht="18.75" customHeight="1">
      <c r="B37" s="259">
        <f>IF(Create_PC!B32&gt;"",Create_PC!B32,"")</f>
      </c>
      <c r="C37" s="259"/>
      <c r="D37" s="259"/>
      <c r="E37" s="259"/>
      <c r="F37" s="259"/>
      <c r="G37" s="259"/>
      <c r="H37" s="259"/>
      <c r="I37" s="259"/>
      <c r="J37" s="259">
        <f>IF($B:$B&gt;"",VLOOKUP($B:$B,Lup1,5,),"")</f>
      </c>
      <c r="K37" s="259"/>
      <c r="L37" s="259"/>
      <c r="M37" s="259">
        <f>IF($B:$B&gt;"",VLOOKUP($B:$B,Lup1,6,),"")</f>
      </c>
      <c r="N37" s="259"/>
      <c r="O37" s="259"/>
      <c r="P37" s="259">
        <f>IF($B:$B&gt;"",VLOOKUP($B:$B,Lup1,4,),"")</f>
      </c>
      <c r="Q37" s="259"/>
      <c r="R37" s="259"/>
      <c r="S37" s="259">
        <f>IF($B:$B&gt;"",VLOOKUP($B:$B,Lup1,2,),"")</f>
      </c>
      <c r="T37" s="259"/>
      <c r="U37" s="259"/>
      <c r="V37" s="259"/>
      <c r="X37" s="317" t="s">
        <v>225</v>
      </c>
      <c r="Y37" s="318"/>
      <c r="Z37" s="318"/>
      <c r="AA37" s="318"/>
      <c r="AB37" s="318"/>
      <c r="AC37" s="318"/>
      <c r="AD37" s="318"/>
      <c r="AE37" s="318"/>
      <c r="AF37" s="318"/>
      <c r="AG37" s="318"/>
    </row>
    <row r="38" spans="2:33" ht="18.75" customHeight="1">
      <c r="B38" s="259">
        <f>IF(Create_PC!B33&gt;"",Create_PC!B33,"")</f>
      </c>
      <c r="C38" s="259"/>
      <c r="D38" s="259"/>
      <c r="E38" s="259"/>
      <c r="F38" s="259"/>
      <c r="G38" s="259"/>
      <c r="H38" s="259"/>
      <c r="I38" s="259"/>
      <c r="J38" s="259">
        <f>IF($B:$B&gt;"",VLOOKUP($B:$B,Lup1,5,),"")</f>
      </c>
      <c r="K38" s="259"/>
      <c r="L38" s="259"/>
      <c r="M38" s="259">
        <f>IF($B:$B&gt;"",VLOOKUP($B:$B,Lup1,6,),"")</f>
      </c>
      <c r="N38" s="259"/>
      <c r="O38" s="259"/>
      <c r="P38" s="259">
        <f>IF($B:$B&gt;"",VLOOKUP($B:$B,Lup1,4,),"")</f>
      </c>
      <c r="Q38" s="259"/>
      <c r="R38" s="259"/>
      <c r="S38" s="259">
        <f>IF($B:$B&gt;"",VLOOKUP($B:$B,Lup1,2,),"")</f>
      </c>
      <c r="T38" s="259"/>
      <c r="U38" s="259"/>
      <c r="V38" s="259"/>
      <c r="X38" s="245" t="s">
        <v>224</v>
      </c>
      <c r="Y38" s="245"/>
      <c r="Z38" s="245" t="s">
        <v>222</v>
      </c>
      <c r="AA38" s="245"/>
      <c r="AB38" s="252" t="s">
        <v>223</v>
      </c>
      <c r="AC38" s="252"/>
      <c r="AD38" s="252"/>
      <c r="AE38" s="252"/>
      <c r="AF38" s="252"/>
      <c r="AG38" s="252"/>
    </row>
    <row r="39" ht="5.25" customHeight="1"/>
  </sheetData>
  <sheetProtection/>
  <mergeCells count="220">
    <mergeCell ref="M9:Q9"/>
    <mergeCell ref="B34:E34"/>
    <mergeCell ref="F34:K34"/>
    <mergeCell ref="L34:P34"/>
    <mergeCell ref="B13:D13"/>
    <mergeCell ref="B14:D14"/>
    <mergeCell ref="B9:K9"/>
    <mergeCell ref="G11:K11"/>
    <mergeCell ref="B11:D11"/>
    <mergeCell ref="B12:D12"/>
    <mergeCell ref="M2:N3"/>
    <mergeCell ref="I7:N7"/>
    <mergeCell ref="B7:H7"/>
    <mergeCell ref="C6:E6"/>
    <mergeCell ref="F6:I6"/>
    <mergeCell ref="Q2:AC2"/>
    <mergeCell ref="B2:I2"/>
    <mergeCell ref="O2:O7"/>
    <mergeCell ref="K5:L5"/>
    <mergeCell ref="K6:L6"/>
    <mergeCell ref="L4:N4"/>
    <mergeCell ref="B5:J5"/>
    <mergeCell ref="C4:J4"/>
    <mergeCell ref="M5:N5"/>
    <mergeCell ref="M6:N6"/>
    <mergeCell ref="B10:D10"/>
    <mergeCell ref="E12:F12"/>
    <mergeCell ref="G10:K10"/>
    <mergeCell ref="E10:F10"/>
    <mergeCell ref="E11:F11"/>
    <mergeCell ref="G12:K12"/>
    <mergeCell ref="G13:K13"/>
    <mergeCell ref="G14:K14"/>
    <mergeCell ref="E13:F13"/>
    <mergeCell ref="E25:F25"/>
    <mergeCell ref="G24:K24"/>
    <mergeCell ref="G25:K25"/>
    <mergeCell ref="B22:D22"/>
    <mergeCell ref="E22:F22"/>
    <mergeCell ref="B23:D23"/>
    <mergeCell ref="E23:F23"/>
    <mergeCell ref="G22:K22"/>
    <mergeCell ref="G23:K23"/>
    <mergeCell ref="P10:Q10"/>
    <mergeCell ref="B24:D24"/>
    <mergeCell ref="E24:F24"/>
    <mergeCell ref="B20:D20"/>
    <mergeCell ref="E20:F20"/>
    <mergeCell ref="B21:D21"/>
    <mergeCell ref="E21:F21"/>
    <mergeCell ref="G21:K21"/>
    <mergeCell ref="M11:O11"/>
    <mergeCell ref="E14:F14"/>
    <mergeCell ref="M14:O14"/>
    <mergeCell ref="P14:Q14"/>
    <mergeCell ref="R10:V10"/>
    <mergeCell ref="R11:V11"/>
    <mergeCell ref="P11:Q11"/>
    <mergeCell ref="M12:O12"/>
    <mergeCell ref="P12:Q12"/>
    <mergeCell ref="M13:O13"/>
    <mergeCell ref="P13:Q13"/>
    <mergeCell ref="M10:O10"/>
    <mergeCell ref="X11:Z11"/>
    <mergeCell ref="AA11:AB11"/>
    <mergeCell ref="B32:E33"/>
    <mergeCell ref="F32:K33"/>
    <mergeCell ref="L32:V33"/>
    <mergeCell ref="R14:V14"/>
    <mergeCell ref="R15:V15"/>
    <mergeCell ref="M15:O15"/>
    <mergeCell ref="P15:Q15"/>
    <mergeCell ref="M16:O16"/>
    <mergeCell ref="P16:Q16"/>
    <mergeCell ref="B25:D25"/>
    <mergeCell ref="F28:K29"/>
    <mergeCell ref="B28:E29"/>
    <mergeCell ref="L28:V29"/>
    <mergeCell ref="B16:D16"/>
    <mergeCell ref="G20:K20"/>
    <mergeCell ref="B19:D19"/>
    <mergeCell ref="E19:F19"/>
    <mergeCell ref="R16:V16"/>
    <mergeCell ref="B30:E31"/>
    <mergeCell ref="F30:K31"/>
    <mergeCell ref="L30:V31"/>
    <mergeCell ref="Q4:AF7"/>
    <mergeCell ref="G16:K16"/>
    <mergeCell ref="B18:K18"/>
    <mergeCell ref="G19:K19"/>
    <mergeCell ref="E15:F15"/>
    <mergeCell ref="E16:F16"/>
    <mergeCell ref="B15:D15"/>
    <mergeCell ref="W3:AF3"/>
    <mergeCell ref="B27:E27"/>
    <mergeCell ref="F27:K27"/>
    <mergeCell ref="L27:V27"/>
    <mergeCell ref="X15:Z15"/>
    <mergeCell ref="AA15:AB15"/>
    <mergeCell ref="R12:V12"/>
    <mergeCell ref="R13:V13"/>
    <mergeCell ref="X13:Z13"/>
    <mergeCell ref="G15:K15"/>
    <mergeCell ref="M19:O19"/>
    <mergeCell ref="P19:Q19"/>
    <mergeCell ref="R19:V19"/>
    <mergeCell ref="M20:O20"/>
    <mergeCell ref="P20:Q20"/>
    <mergeCell ref="R20:V20"/>
    <mergeCell ref="M21:O21"/>
    <mergeCell ref="P21:Q21"/>
    <mergeCell ref="R21:V21"/>
    <mergeCell ref="M22:O22"/>
    <mergeCell ref="P22:Q22"/>
    <mergeCell ref="R22:V22"/>
    <mergeCell ref="M23:O23"/>
    <mergeCell ref="P23:Q23"/>
    <mergeCell ref="R23:V23"/>
    <mergeCell ref="M24:O24"/>
    <mergeCell ref="P24:Q24"/>
    <mergeCell ref="R24:V24"/>
    <mergeCell ref="M25:O25"/>
    <mergeCell ref="P25:Q25"/>
    <mergeCell ref="R25:V25"/>
    <mergeCell ref="X9:AG9"/>
    <mergeCell ref="X10:Z10"/>
    <mergeCell ref="AA10:AB10"/>
    <mergeCell ref="AC10:AG10"/>
    <mergeCell ref="AC11:AG11"/>
    <mergeCell ref="X12:Z12"/>
    <mergeCell ref="AA12:AB12"/>
    <mergeCell ref="AC12:AG12"/>
    <mergeCell ref="AC13:AG13"/>
    <mergeCell ref="X14:Z14"/>
    <mergeCell ref="AA14:AB14"/>
    <mergeCell ref="AC14:AG14"/>
    <mergeCell ref="AA13:AB13"/>
    <mergeCell ref="AC15:AG15"/>
    <mergeCell ref="X16:Z16"/>
    <mergeCell ref="AA16:AB16"/>
    <mergeCell ref="AC16:AG16"/>
    <mergeCell ref="X18:AG18"/>
    <mergeCell ref="X19:Z19"/>
    <mergeCell ref="AA19:AB19"/>
    <mergeCell ref="AC19:AG19"/>
    <mergeCell ref="X20:Z20"/>
    <mergeCell ref="AA20:AB20"/>
    <mergeCell ref="AC20:AG20"/>
    <mergeCell ref="X21:Z21"/>
    <mergeCell ref="AA21:AB21"/>
    <mergeCell ref="AC21:AG21"/>
    <mergeCell ref="X22:Z22"/>
    <mergeCell ref="AA22:AB22"/>
    <mergeCell ref="AC22:AG22"/>
    <mergeCell ref="X23:Z23"/>
    <mergeCell ref="AA23:AB23"/>
    <mergeCell ref="AC23:AG23"/>
    <mergeCell ref="X24:Z24"/>
    <mergeCell ref="AA24:AB24"/>
    <mergeCell ref="AC24:AG24"/>
    <mergeCell ref="X25:Z25"/>
    <mergeCell ref="AA25:AB25"/>
    <mergeCell ref="AC25:AG25"/>
    <mergeCell ref="X27:AG27"/>
    <mergeCell ref="X28:Z28"/>
    <mergeCell ref="AA28:AB28"/>
    <mergeCell ref="AC28:AG28"/>
    <mergeCell ref="X33:Z33"/>
    <mergeCell ref="AA33:AB33"/>
    <mergeCell ref="AC33:AG33"/>
    <mergeCell ref="X29:Z29"/>
    <mergeCell ref="AA29:AB29"/>
    <mergeCell ref="AC29:AG29"/>
    <mergeCell ref="X30:Z30"/>
    <mergeCell ref="AA30:AB30"/>
    <mergeCell ref="AC30:AG30"/>
    <mergeCell ref="X31:Z31"/>
    <mergeCell ref="AA31:AB31"/>
    <mergeCell ref="AC31:AG31"/>
    <mergeCell ref="X32:Z32"/>
    <mergeCell ref="AA32:AB32"/>
    <mergeCell ref="AC32:AG32"/>
    <mergeCell ref="AA34:AB34"/>
    <mergeCell ref="AC34:AG34"/>
    <mergeCell ref="P35:R35"/>
    <mergeCell ref="X37:AG37"/>
    <mergeCell ref="X35:Z35"/>
    <mergeCell ref="AA35:AB35"/>
    <mergeCell ref="AC35:AG35"/>
    <mergeCell ref="X36:Z36"/>
    <mergeCell ref="AA36:AB36"/>
    <mergeCell ref="AC36:AG36"/>
    <mergeCell ref="B35:G35"/>
    <mergeCell ref="B36:G36"/>
    <mergeCell ref="M35:O35"/>
    <mergeCell ref="M36:O36"/>
    <mergeCell ref="J35:L35"/>
    <mergeCell ref="H35:I35"/>
    <mergeCell ref="H36:I36"/>
    <mergeCell ref="J36:L36"/>
    <mergeCell ref="AB38:AG38"/>
    <mergeCell ref="B37:G37"/>
    <mergeCell ref="B38:G38"/>
    <mergeCell ref="H38:I38"/>
    <mergeCell ref="J38:L38"/>
    <mergeCell ref="H37:I37"/>
    <mergeCell ref="J37:L37"/>
    <mergeCell ref="M37:O37"/>
    <mergeCell ref="M38:O38"/>
    <mergeCell ref="P38:R38"/>
    <mergeCell ref="M18:V18"/>
    <mergeCell ref="X38:Y38"/>
    <mergeCell ref="Z38:AA38"/>
    <mergeCell ref="S38:V38"/>
    <mergeCell ref="S35:V35"/>
    <mergeCell ref="S36:V36"/>
    <mergeCell ref="S37:V37"/>
    <mergeCell ref="P37:R37"/>
    <mergeCell ref="P36:R36"/>
    <mergeCell ref="X34:Z34"/>
  </mergeCells>
  <conditionalFormatting sqref="O2">
    <cfRule type="expression" priority="1" dxfId="5" stopIfTrue="1">
      <formula>LEN($O$2)&gt;26</formula>
    </cfRule>
  </conditionalFormatting>
  <conditionalFormatting sqref="B2">
    <cfRule type="expression" priority="2" dxfId="8" stopIfTrue="1">
      <formula>LEN($B$2)&lt;24</formula>
    </cfRule>
  </conditionalFormatting>
  <conditionalFormatting sqref="M19:V25">
    <cfRule type="expression" priority="3" dxfId="2" stopIfTrue="1">
      <formula>Genre="Crime Network"</formula>
    </cfRule>
  </conditionalFormatting>
  <conditionalFormatting sqref="Q34:V34">
    <cfRule type="expression" priority="4" dxfId="7" stopIfTrue="1">
      <formula>Q$34=val</formula>
    </cfRule>
  </conditionalFormatting>
  <conditionalFormatting sqref="X35:AG35">
    <cfRule type="expression" priority="5" dxfId="9" stopIfTrue="1">
      <formula>$X35=""</formula>
    </cfRule>
  </conditionalFormatting>
  <conditionalFormatting sqref="X36:AG36">
    <cfRule type="expression" priority="6" dxfId="10" stopIfTrue="1">
      <formula>$X36=""</formula>
    </cfRule>
  </conditionalFormatting>
  <dataValidations count="1">
    <dataValidation type="list" allowBlank="1" showInputMessage="1" showErrorMessage="1" sqref="F34">
      <formula1>"Heavy (+3), Medium (+2), Light (+1)"</formula1>
    </dataValidation>
  </dataValidations>
  <printOptions/>
  <pageMargins left="0.2" right="0.2" top="1" bottom="1"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U132"/>
  <sheetViews>
    <sheetView workbookViewId="0" topLeftCell="A17">
      <selection activeCell="G30" sqref="G30"/>
    </sheetView>
  </sheetViews>
  <sheetFormatPr defaultColWidth="9.140625" defaultRowHeight="12.75"/>
  <cols>
    <col min="3" max="3" width="39.140625" style="1" customWidth="1"/>
    <col min="4" max="4" width="17.140625" style="0" customWidth="1"/>
    <col min="5" max="5" width="11.28125" style="0" customWidth="1"/>
  </cols>
  <sheetData>
    <row r="1" ht="12.75">
      <c r="D1" t="s">
        <v>14</v>
      </c>
    </row>
    <row r="2" spans="2:13" ht="12.75">
      <c r="B2" t="s">
        <v>81</v>
      </c>
      <c r="D2">
        <f>SUM(E2:E2)</f>
        <v>0</v>
      </c>
      <c r="F2">
        <f>IF(H2&gt;"",SUM(1+MAX(F$1:F1)),"")</f>
        <v>1</v>
      </c>
      <c r="G2" t="s">
        <v>47</v>
      </c>
      <c r="H2" t="str">
        <f>IF(COUNTIF(Create_PC!$D$11:$K$12,$G:$G)=0,$G:$G,"")</f>
        <v>Combat</v>
      </c>
      <c r="J2">
        <f>ROW()-1</f>
        <v>1</v>
      </c>
      <c r="K2" t="str">
        <f aca="true" t="shared" si="0" ref="K2:K24">IF(MAXA(B$1:B$65536)&gt;ROW()-2,VLOOKUP($J:$J,Lup1,2,),"")</f>
        <v>Associate</v>
      </c>
      <c r="M2">
        <v>1</v>
      </c>
    </row>
    <row r="3" spans="6:13" ht="12.75">
      <c r="F3">
        <f>IF(H3&gt;"",SUM(1+MAX(F$1:F2)),"")</f>
        <v>2</v>
      </c>
      <c r="G3" t="s">
        <v>17</v>
      </c>
      <c r="H3" t="str">
        <f>IF(COUNTIF(Create_PC!$D$11:$K$12,$G:$G)=0,$G:$G,"")</f>
        <v>Defenses</v>
      </c>
      <c r="J3">
        <f aca="true" t="shared" si="1" ref="J3:J24">ROW()-1</f>
        <v>2</v>
      </c>
      <c r="K3" t="str">
        <f t="shared" si="0"/>
        <v>Solider</v>
      </c>
      <c r="M3">
        <v>3</v>
      </c>
    </row>
    <row r="4" spans="2:13" ht="12.75">
      <c r="B4" t="str">
        <f>IF(Genre="Terror Network","Military","Brain:")</f>
        <v>Brain:</v>
      </c>
      <c r="C4" s="1" t="s">
        <v>83</v>
      </c>
      <c r="D4" t="s">
        <v>336</v>
      </c>
      <c r="E4" t="s">
        <v>47</v>
      </c>
      <c r="F4">
        <f>IF(H4&gt;"",SUM(1+MAX(F$1:F3)),"")</f>
        <v>3</v>
      </c>
      <c r="G4" t="s">
        <v>15</v>
      </c>
      <c r="H4" t="str">
        <f>IF(COUNTIF(Create_PC!$D$11:$K$12,$G:$G)=0,$G:$G,"")</f>
        <v>Knowledge</v>
      </c>
      <c r="J4">
        <f t="shared" si="1"/>
        <v>3</v>
      </c>
      <c r="K4" t="str">
        <f t="shared" si="0"/>
        <v>Captain (Capo)</v>
      </c>
      <c r="M4">
        <v>6</v>
      </c>
    </row>
    <row r="5" spans="2:13" ht="12.75">
      <c r="B5" t="str">
        <f>IF(Genre="Terror Network","Civilian:","Brawn:")</f>
        <v>Brawn:</v>
      </c>
      <c r="C5" s="1" t="s">
        <v>84</v>
      </c>
      <c r="D5" t="s">
        <v>337</v>
      </c>
      <c r="E5" t="s">
        <v>15</v>
      </c>
      <c r="F5">
        <f>IF(H5&gt;"",SUM(1+MAX(F$1:F4)),"")</f>
        <v>4</v>
      </c>
      <c r="G5" t="s">
        <v>49</v>
      </c>
      <c r="H5" t="str">
        <f>IF(COUNTIF(Create_PC!$D$11:$K$12,$G:$G)=0,$G:$G,"")</f>
        <v>Mental</v>
      </c>
      <c r="J5">
        <f t="shared" si="1"/>
        <v>4</v>
      </c>
      <c r="K5" t="str">
        <f t="shared" si="0"/>
        <v>Consiglierre</v>
      </c>
      <c r="M5">
        <v>10</v>
      </c>
    </row>
    <row r="6" spans="2:13" ht="12.75">
      <c r="B6" t="str">
        <f>IF(Genre="Terror Network","Academic:","Cassanova:")</f>
        <v>Cassanova:</v>
      </c>
      <c r="C6" s="1" t="s">
        <v>85</v>
      </c>
      <c r="D6" t="s">
        <v>335</v>
      </c>
      <c r="E6" t="s">
        <v>16</v>
      </c>
      <c r="F6">
        <f>IF(H6&gt;"",SUM(1+MAX(F$1:F5)),"")</f>
        <v>5</v>
      </c>
      <c r="G6" t="s">
        <v>48</v>
      </c>
      <c r="H6" t="str">
        <f>IF(COUNTIF(Create_PC!$D$11:$K$12,$G:$G)=0,$G:$G,"")</f>
        <v>Physical</v>
      </c>
      <c r="J6">
        <f t="shared" si="1"/>
        <v>5</v>
      </c>
      <c r="K6" t="str">
        <f t="shared" si="0"/>
        <v>Under Boss</v>
      </c>
      <c r="M6">
        <v>15</v>
      </c>
    </row>
    <row r="7" spans="6:11" ht="12.75">
      <c r="F7">
        <f>IF(H7&gt;"",SUM(1+MAX(F$1:F6)),"")</f>
        <v>6</v>
      </c>
      <c r="G7" t="s">
        <v>16</v>
      </c>
      <c r="H7" t="str">
        <f>IF(COUNTIF(Create_PC!$D$11:$K$12,$G:$G)=0,$G:$G,"")</f>
        <v>Specialist</v>
      </c>
      <c r="J7">
        <f t="shared" si="1"/>
        <v>6</v>
      </c>
      <c r="K7" t="str">
        <f t="shared" si="0"/>
        <v>Boss</v>
      </c>
    </row>
    <row r="8" spans="2:11" ht="12.75">
      <c r="B8" t="s">
        <v>99</v>
      </c>
      <c r="F8">
        <f>IF(H8&gt;"",SUM(1+MAX(F$1:F7)),"")</f>
      </c>
      <c r="G8">
        <f>IF(Genre="Terror Network","Vehicle","")</f>
      </c>
      <c r="H8">
        <f>IF(COUNTIF(Create_PC!$D$11:$K$12,$G:$G)=0,$G:$G,"")</f>
      </c>
      <c r="J8">
        <f t="shared" si="1"/>
        <v>7</v>
      </c>
      <c r="K8" t="str">
        <f t="shared" si="0"/>
        <v>Godfather (N/A)</v>
      </c>
    </row>
    <row r="9" spans="10:11" ht="12.75">
      <c r="J9">
        <f t="shared" si="1"/>
        <v>8</v>
      </c>
      <c r="K9">
        <f t="shared" si="0"/>
      </c>
    </row>
    <row r="10" spans="6:11" ht="12.75">
      <c r="F10" s="1" t="s">
        <v>50</v>
      </c>
      <c r="G10" s="1" t="s">
        <v>226</v>
      </c>
      <c r="J10">
        <f t="shared" si="1"/>
        <v>9</v>
      </c>
      <c r="K10">
        <f t="shared" si="0"/>
      </c>
    </row>
    <row r="11" spans="2:11" ht="12.75">
      <c r="B11" t="str">
        <f>HLOOKUP(Create_PC!$B$1,$E$10:$I$19,ROW()-9,)</f>
        <v>DeLuca</v>
      </c>
      <c r="C11" s="1" t="s">
        <v>92</v>
      </c>
      <c r="D11" s="11" t="s">
        <v>200</v>
      </c>
      <c r="F11" s="1" t="s">
        <v>91</v>
      </c>
      <c r="G11" s="1" t="s">
        <v>227</v>
      </c>
      <c r="H11" s="1" t="s">
        <v>379</v>
      </c>
      <c r="I11" s="1" t="s">
        <v>378</v>
      </c>
      <c r="J11">
        <f t="shared" si="1"/>
        <v>10</v>
      </c>
      <c r="K11">
        <f t="shared" si="0"/>
      </c>
    </row>
    <row r="12" spans="2:11" ht="15.75">
      <c r="B12" t="str">
        <f>HLOOKUP(Create_PC!$B$1,$E$10:$I$19,ROW()-9,)</f>
        <v>Lombardi</v>
      </c>
      <c r="C12" s="1" t="s">
        <v>93</v>
      </c>
      <c r="D12" s="11" t="s">
        <v>201</v>
      </c>
      <c r="F12" s="1" t="s">
        <v>90</v>
      </c>
      <c r="G12" s="1" t="s">
        <v>228</v>
      </c>
      <c r="H12" s="1" t="s">
        <v>380</v>
      </c>
      <c r="I12" s="1" t="s">
        <v>379</v>
      </c>
      <c r="J12">
        <f t="shared" si="1"/>
        <v>11</v>
      </c>
      <c r="K12">
        <f t="shared" si="0"/>
      </c>
    </row>
    <row r="13" spans="2:11" ht="12.75">
      <c r="B13" t="str">
        <f>HLOOKUP(Create_PC!$B$1,$E$10:$I$19,ROW()-9,)</f>
        <v>Romano</v>
      </c>
      <c r="C13" s="1" t="s">
        <v>94</v>
      </c>
      <c r="D13" s="11" t="s">
        <v>202</v>
      </c>
      <c r="F13" s="1" t="s">
        <v>89</v>
      </c>
      <c r="G13" s="1" t="s">
        <v>229</v>
      </c>
      <c r="H13" s="1" t="s">
        <v>381</v>
      </c>
      <c r="I13" s="1" t="s">
        <v>382</v>
      </c>
      <c r="J13">
        <f t="shared" si="1"/>
        <v>12</v>
      </c>
      <c r="K13">
        <f t="shared" si="0"/>
      </c>
    </row>
    <row r="14" spans="2:11" ht="12.75">
      <c r="B14" t="str">
        <f>HLOOKUP(Create_PC!$B$1,$E$10:$I$19,ROW()-9,)</f>
        <v>Baggio</v>
      </c>
      <c r="C14" s="1" t="s">
        <v>95</v>
      </c>
      <c r="D14" s="11" t="s">
        <v>206</v>
      </c>
      <c r="F14" s="1" t="s">
        <v>96</v>
      </c>
      <c r="G14" s="1" t="s">
        <v>230</v>
      </c>
      <c r="H14" s="1" t="s">
        <v>378</v>
      </c>
      <c r="I14" s="1" t="s">
        <v>383</v>
      </c>
      <c r="J14">
        <f t="shared" si="1"/>
        <v>13</v>
      </c>
      <c r="K14">
        <f t="shared" si="0"/>
      </c>
    </row>
    <row r="15" spans="2:11" ht="12.75">
      <c r="B15" t="str">
        <f>HLOOKUP(Create_PC!$B$1,$E$10:$I$19,ROW()-9,)</f>
        <v>Corelli</v>
      </c>
      <c r="C15" s="1" t="s">
        <v>97</v>
      </c>
      <c r="D15" s="11" t="s">
        <v>203</v>
      </c>
      <c r="F15" s="1" t="s">
        <v>88</v>
      </c>
      <c r="G15" s="1" t="s">
        <v>231</v>
      </c>
      <c r="H15" s="1" t="s">
        <v>384</v>
      </c>
      <c r="I15" s="1" t="s">
        <v>385</v>
      </c>
      <c r="J15">
        <f t="shared" si="1"/>
        <v>14</v>
      </c>
      <c r="K15">
        <f t="shared" si="0"/>
      </c>
    </row>
    <row r="16" spans="2:11" ht="12.75">
      <c r="B16" t="str">
        <f>HLOOKUP(Create_PC!$B$1,$E$10:$I$19,ROW()-9,)</f>
        <v>Martino</v>
      </c>
      <c r="C16" s="1" t="s">
        <v>98</v>
      </c>
      <c r="D16" s="11" t="s">
        <v>204</v>
      </c>
      <c r="F16" s="1" t="s">
        <v>87</v>
      </c>
      <c r="G16" s="1" t="s">
        <v>232</v>
      </c>
      <c r="H16" s="1" t="s">
        <v>381</v>
      </c>
      <c r="I16" s="1" t="s">
        <v>382</v>
      </c>
      <c r="J16">
        <f t="shared" si="1"/>
        <v>15</v>
      </c>
      <c r="K16">
        <f t="shared" si="0"/>
      </c>
    </row>
    <row r="17" spans="2:11" ht="12.75">
      <c r="B17" t="str">
        <f>HLOOKUP(Create_PC!$B$1,$E$10:$I$19,ROW()-9,)</f>
        <v>Bartoli</v>
      </c>
      <c r="D17" s="11" t="s">
        <v>205</v>
      </c>
      <c r="F17" s="1" t="s">
        <v>82</v>
      </c>
      <c r="G17" s="1" t="s">
        <v>233</v>
      </c>
      <c r="H17" s="1" t="s">
        <v>386</v>
      </c>
      <c r="I17" s="1" t="s">
        <v>378</v>
      </c>
      <c r="J17">
        <f t="shared" si="1"/>
        <v>16</v>
      </c>
      <c r="K17">
        <f t="shared" si="0"/>
      </c>
    </row>
    <row r="18" spans="2:11" ht="12.75">
      <c r="B18" t="str">
        <f>HLOOKUP(Create_PC!$B$1,$E$10:$I$19,ROW()-9,)</f>
        <v>Santini</v>
      </c>
      <c r="D18" s="11" t="s">
        <v>205</v>
      </c>
      <c r="F18" s="1" t="s">
        <v>235</v>
      </c>
      <c r="G18" s="1" t="s">
        <v>234</v>
      </c>
      <c r="H18" s="1" t="s">
        <v>387</v>
      </c>
      <c r="I18" s="1" t="s">
        <v>388</v>
      </c>
      <c r="J18">
        <f t="shared" si="1"/>
        <v>17</v>
      </c>
      <c r="K18">
        <f t="shared" si="0"/>
      </c>
    </row>
    <row r="19" spans="4:11" ht="12.75">
      <c r="D19" s="11"/>
      <c r="F19" s="1"/>
      <c r="G19" s="1"/>
      <c r="J19">
        <f t="shared" si="1"/>
        <v>18</v>
      </c>
      <c r="K19">
        <f t="shared" si="0"/>
      </c>
    </row>
    <row r="20" spans="5:11" ht="12.75">
      <c r="E20" s="6"/>
      <c r="J20">
        <f t="shared" si="1"/>
        <v>19</v>
      </c>
      <c r="K20">
        <f t="shared" si="0"/>
      </c>
    </row>
    <row r="21" spans="1:11" ht="16.5">
      <c r="A21" t="s">
        <v>91</v>
      </c>
      <c r="B21">
        <f>COUNTIF($A$20:$A21,Agcy)</f>
        <v>0</v>
      </c>
      <c r="C21" s="3" t="s">
        <v>0</v>
      </c>
      <c r="D21" s="1" t="s">
        <v>1</v>
      </c>
      <c r="E21" s="1"/>
      <c r="J21">
        <f t="shared" si="1"/>
        <v>20</v>
      </c>
      <c r="K21">
        <f t="shared" si="0"/>
      </c>
    </row>
    <row r="22" spans="1:11" ht="16.5">
      <c r="A22" t="s">
        <v>91</v>
      </c>
      <c r="B22">
        <f>COUNTIF($A$20:$A22,Agcy)</f>
        <v>0</v>
      </c>
      <c r="C22" s="3" t="s">
        <v>2</v>
      </c>
      <c r="D22" s="1" t="s">
        <v>3</v>
      </c>
      <c r="E22" s="1"/>
      <c r="J22">
        <f t="shared" si="1"/>
        <v>21</v>
      </c>
      <c r="K22">
        <f t="shared" si="0"/>
      </c>
    </row>
    <row r="23" spans="1:11" ht="16.5">
      <c r="A23" t="s">
        <v>91</v>
      </c>
      <c r="B23">
        <f>COUNTIF($A$20:$A23,Agcy)</f>
        <v>0</v>
      </c>
      <c r="C23" s="3" t="s">
        <v>4</v>
      </c>
      <c r="D23" s="1" t="s">
        <v>5</v>
      </c>
      <c r="E23" s="1"/>
      <c r="J23">
        <f t="shared" si="1"/>
        <v>22</v>
      </c>
      <c r="K23">
        <f t="shared" si="0"/>
      </c>
    </row>
    <row r="24" spans="1:11" ht="16.5">
      <c r="A24" t="s">
        <v>91</v>
      </c>
      <c r="B24">
        <f>COUNTIF($A$20:$A24,Agcy)</f>
        <v>0</v>
      </c>
      <c r="C24" s="3" t="s">
        <v>6</v>
      </c>
      <c r="D24" s="1" t="s">
        <v>7</v>
      </c>
      <c r="E24" s="1"/>
      <c r="J24">
        <f t="shared" si="1"/>
        <v>23</v>
      </c>
      <c r="K24">
        <f t="shared" si="0"/>
      </c>
    </row>
    <row r="25" spans="1:5" ht="16.5">
      <c r="A25" t="s">
        <v>91</v>
      </c>
      <c r="B25">
        <f>COUNTIF($A$20:$A25,Agcy)</f>
        <v>0</v>
      </c>
      <c r="C25" s="3" t="s">
        <v>8</v>
      </c>
      <c r="D25" s="1" t="s">
        <v>9</v>
      </c>
      <c r="E25" s="1"/>
    </row>
    <row r="26" spans="1:5" ht="16.5">
      <c r="A26" t="s">
        <v>91</v>
      </c>
      <c r="B26">
        <f>COUNTIF($A$20:$A26,Agcy)</f>
        <v>0</v>
      </c>
      <c r="C26" s="3" t="s">
        <v>10</v>
      </c>
      <c r="D26" s="1" t="s">
        <v>11</v>
      </c>
      <c r="E26" s="1"/>
    </row>
    <row r="27" spans="1:5" ht="16.5">
      <c r="A27" t="s">
        <v>91</v>
      </c>
      <c r="B27">
        <f>COUNTIF($A$20:$A27,Agcy)</f>
        <v>0</v>
      </c>
      <c r="C27" s="3" t="s">
        <v>12</v>
      </c>
      <c r="D27" s="1" t="s">
        <v>13</v>
      </c>
      <c r="E27" s="1"/>
    </row>
    <row r="28" spans="1:7" ht="17.25">
      <c r="A28" s="4" t="s">
        <v>90</v>
      </c>
      <c r="B28">
        <f>COUNTIF($A$20:$A28,Agcy)</f>
        <v>0</v>
      </c>
      <c r="C28" s="5" t="s">
        <v>100</v>
      </c>
      <c r="D28" s="5" t="s">
        <v>101</v>
      </c>
      <c r="F28" s="1" t="s">
        <v>338</v>
      </c>
      <c r="G28" s="79" t="s">
        <v>339</v>
      </c>
    </row>
    <row r="29" spans="1:7" ht="17.25">
      <c r="A29" s="4" t="s">
        <v>90</v>
      </c>
      <c r="B29">
        <f>COUNTIF($A$20:$A29,Agcy)</f>
        <v>0</v>
      </c>
      <c r="C29" s="5" t="s">
        <v>104</v>
      </c>
      <c r="D29" s="5" t="s">
        <v>105</v>
      </c>
      <c r="F29" s="1" t="s">
        <v>340</v>
      </c>
      <c r="G29" s="79" t="s">
        <v>341</v>
      </c>
    </row>
    <row r="30" spans="1:7" ht="17.25">
      <c r="A30" s="4" t="s">
        <v>90</v>
      </c>
      <c r="B30">
        <f>COUNTIF($A$20:$A30,Agcy)</f>
        <v>0</v>
      </c>
      <c r="C30" s="5" t="s">
        <v>102</v>
      </c>
      <c r="D30" s="5" t="s">
        <v>103</v>
      </c>
      <c r="F30" s="1" t="s">
        <v>342</v>
      </c>
      <c r="G30" s="79" t="s">
        <v>343</v>
      </c>
    </row>
    <row r="31" spans="1:7" ht="17.25">
      <c r="A31" s="4" t="s">
        <v>90</v>
      </c>
      <c r="B31">
        <f>COUNTIF($A$20:$A31,Agcy)</f>
        <v>0</v>
      </c>
      <c r="C31" s="5" t="s">
        <v>114</v>
      </c>
      <c r="D31" s="5" t="s">
        <v>115</v>
      </c>
      <c r="F31" s="1" t="s">
        <v>344</v>
      </c>
      <c r="G31" s="1" t="s">
        <v>345</v>
      </c>
    </row>
    <row r="32" spans="1:7" ht="17.25">
      <c r="A32" s="4" t="s">
        <v>90</v>
      </c>
      <c r="B32">
        <f>COUNTIF($A$20:$A32,Agcy)</f>
        <v>0</v>
      </c>
      <c r="C32" s="5" t="s">
        <v>116</v>
      </c>
      <c r="D32" s="5" t="s">
        <v>117</v>
      </c>
      <c r="F32" s="1" t="s">
        <v>346</v>
      </c>
      <c r="G32" s="1" t="s">
        <v>349</v>
      </c>
    </row>
    <row r="33" spans="1:7" ht="17.25">
      <c r="A33" s="4" t="s">
        <v>90</v>
      </c>
      <c r="B33">
        <f>COUNTIF($A$20:$A33,Agcy)</f>
        <v>0</v>
      </c>
      <c r="C33" s="5" t="s">
        <v>106</v>
      </c>
      <c r="D33" s="5" t="s">
        <v>107</v>
      </c>
      <c r="F33" s="1" t="s">
        <v>347</v>
      </c>
      <c r="G33" s="79" t="s">
        <v>348</v>
      </c>
    </row>
    <row r="34" spans="1:7" ht="17.25">
      <c r="A34" s="4" t="s">
        <v>90</v>
      </c>
      <c r="B34">
        <f>COUNTIF($A$20:$A34,Agcy)</f>
        <v>0</v>
      </c>
      <c r="C34" s="5" t="s">
        <v>108</v>
      </c>
      <c r="D34" s="5" t="s">
        <v>109</v>
      </c>
      <c r="F34" s="1" t="s">
        <v>350</v>
      </c>
      <c r="G34" s="79" t="s">
        <v>351</v>
      </c>
    </row>
    <row r="35" spans="1:7" ht="17.25">
      <c r="A35" s="4" t="s">
        <v>90</v>
      </c>
      <c r="B35">
        <f>COUNTIF($A$20:$A35,Agcy)</f>
        <v>0</v>
      </c>
      <c r="C35" s="5" t="s">
        <v>110</v>
      </c>
      <c r="D35" s="5" t="s">
        <v>111</v>
      </c>
      <c r="F35" s="1" t="s">
        <v>354</v>
      </c>
      <c r="G35" s="79" t="s">
        <v>355</v>
      </c>
    </row>
    <row r="36" spans="1:7" ht="17.25">
      <c r="A36" s="4" t="s">
        <v>90</v>
      </c>
      <c r="B36">
        <f>COUNTIF($A$20:$A36,Agcy)</f>
        <v>0</v>
      </c>
      <c r="C36" s="5" t="s">
        <v>112</v>
      </c>
      <c r="D36" s="5" t="s">
        <v>113</v>
      </c>
      <c r="F36" s="1" t="s">
        <v>356</v>
      </c>
      <c r="G36" s="1" t="s">
        <v>357</v>
      </c>
    </row>
    <row r="37" spans="1:7" ht="17.25">
      <c r="A37" s="4" t="s">
        <v>86</v>
      </c>
      <c r="B37">
        <f>COUNTIF($A$20:$A37,Agcy)</f>
        <v>0</v>
      </c>
      <c r="C37" s="5" t="s">
        <v>132</v>
      </c>
      <c r="D37" s="5" t="s">
        <v>133</v>
      </c>
      <c r="F37" s="1" t="s">
        <v>360</v>
      </c>
      <c r="G37" s="1" t="s">
        <v>361</v>
      </c>
    </row>
    <row r="38" spans="1:7" ht="17.25">
      <c r="A38" s="4" t="s">
        <v>86</v>
      </c>
      <c r="B38">
        <f>COUNTIF($A$20:$A38,Agcy)</f>
        <v>0</v>
      </c>
      <c r="C38" s="5" t="s">
        <v>118</v>
      </c>
      <c r="D38" s="5" t="s">
        <v>119</v>
      </c>
      <c r="F38" s="1" t="s">
        <v>358</v>
      </c>
      <c r="G38" s="1" t="s">
        <v>359</v>
      </c>
    </row>
    <row r="39" spans="1:7" ht="17.25">
      <c r="A39" s="4" t="s">
        <v>86</v>
      </c>
      <c r="B39">
        <f>COUNTIF($A$20:$A39,Agcy)</f>
        <v>0</v>
      </c>
      <c r="C39" s="5" t="s">
        <v>128</v>
      </c>
      <c r="D39" s="5" t="s">
        <v>129</v>
      </c>
      <c r="F39" s="1" t="s">
        <v>362</v>
      </c>
      <c r="G39" s="1" t="s">
        <v>363</v>
      </c>
    </row>
    <row r="40" spans="1:7" ht="17.25">
      <c r="A40" s="4" t="s">
        <v>86</v>
      </c>
      <c r="B40">
        <f>COUNTIF($A$20:$A40,Agcy)</f>
        <v>0</v>
      </c>
      <c r="C40" s="5" t="s">
        <v>126</v>
      </c>
      <c r="D40" s="5" t="s">
        <v>127</v>
      </c>
      <c r="F40" s="1" t="s">
        <v>364</v>
      </c>
      <c r="G40" s="1" t="s">
        <v>365</v>
      </c>
    </row>
    <row r="41" spans="1:7" ht="17.25">
      <c r="A41" s="4" t="s">
        <v>86</v>
      </c>
      <c r="B41">
        <f>COUNTIF($A$20:$A41,Agcy)</f>
        <v>0</v>
      </c>
      <c r="C41" s="5" t="s">
        <v>130</v>
      </c>
      <c r="D41" s="5" t="s">
        <v>131</v>
      </c>
      <c r="F41" s="1" t="s">
        <v>366</v>
      </c>
      <c r="G41" s="1" t="s">
        <v>367</v>
      </c>
    </row>
    <row r="42" spans="1:7" ht="17.25">
      <c r="A42" s="4" t="s">
        <v>86</v>
      </c>
      <c r="B42">
        <f>COUNTIF($A$20:$A42,Agcy)</f>
        <v>0</v>
      </c>
      <c r="C42" s="5" t="s">
        <v>122</v>
      </c>
      <c r="D42" s="5" t="s">
        <v>123</v>
      </c>
      <c r="F42" s="1" t="s">
        <v>368</v>
      </c>
      <c r="G42" s="1" t="s">
        <v>369</v>
      </c>
    </row>
    <row r="43" spans="1:7" ht="17.25">
      <c r="A43" s="4" t="s">
        <v>86</v>
      </c>
      <c r="B43">
        <f>COUNTIF($A$20:$A43,Agcy)</f>
        <v>0</v>
      </c>
      <c r="C43" s="5" t="s">
        <v>124</v>
      </c>
      <c r="D43" s="5" t="s">
        <v>125</v>
      </c>
      <c r="F43" s="1" t="s">
        <v>370</v>
      </c>
      <c r="G43" s="1" t="s">
        <v>371</v>
      </c>
    </row>
    <row r="44" spans="1:7" ht="17.25">
      <c r="A44" s="4" t="s">
        <v>86</v>
      </c>
      <c r="B44">
        <f>COUNTIF($A$20:$A44,Agcy)</f>
        <v>0</v>
      </c>
      <c r="C44" s="5" t="s">
        <v>120</v>
      </c>
      <c r="D44" s="5" t="s">
        <v>121</v>
      </c>
      <c r="F44" s="1" t="s">
        <v>372</v>
      </c>
      <c r="G44" s="1" t="s">
        <v>373</v>
      </c>
    </row>
    <row r="45" spans="1:7" ht="12.75">
      <c r="A45" t="s">
        <v>87</v>
      </c>
      <c r="B45">
        <f>COUNTIF($A$20:$A45,Agcy)</f>
        <v>0</v>
      </c>
      <c r="C45" s="5" t="s">
        <v>144</v>
      </c>
      <c r="D45" s="5" t="s">
        <v>145</v>
      </c>
      <c r="F45" s="1" t="s">
        <v>374</v>
      </c>
      <c r="G45" s="1" t="s">
        <v>377</v>
      </c>
    </row>
    <row r="46" spans="1:7" ht="12.75">
      <c r="A46" t="s">
        <v>87</v>
      </c>
      <c r="B46">
        <f>COUNTIF($A$20:$A46,Agcy)</f>
        <v>0</v>
      </c>
      <c r="C46" s="5" t="s">
        <v>142</v>
      </c>
      <c r="D46" s="5" t="s">
        <v>143</v>
      </c>
      <c r="F46" s="1" t="s">
        <v>375</v>
      </c>
      <c r="G46" s="1" t="s">
        <v>376</v>
      </c>
    </row>
    <row r="47" spans="1:7" ht="12.75">
      <c r="A47" t="s">
        <v>87</v>
      </c>
      <c r="B47">
        <f>COUNTIF($A$20:$A47,Agcy)</f>
        <v>0</v>
      </c>
      <c r="C47" s="5" t="s">
        <v>146</v>
      </c>
      <c r="D47" s="5" t="s">
        <v>147</v>
      </c>
      <c r="F47" s="1" t="s">
        <v>352</v>
      </c>
      <c r="G47" s="79" t="s">
        <v>353</v>
      </c>
    </row>
    <row r="48" spans="1:7" ht="12.75">
      <c r="A48" t="s">
        <v>87</v>
      </c>
      <c r="B48">
        <f>COUNTIF($A$20:$A48,Agcy)</f>
        <v>0</v>
      </c>
      <c r="C48" s="5" t="s">
        <v>136</v>
      </c>
      <c r="D48" s="5" t="s">
        <v>137</v>
      </c>
      <c r="F48" s="1"/>
      <c r="G48" s="1"/>
    </row>
    <row r="49" spans="1:7" ht="12.75">
      <c r="A49" t="s">
        <v>87</v>
      </c>
      <c r="B49">
        <f>COUNTIF($A$20:$A49,Agcy)</f>
        <v>0</v>
      </c>
      <c r="C49" s="5" t="s">
        <v>140</v>
      </c>
      <c r="D49" s="5" t="s">
        <v>141</v>
      </c>
      <c r="F49" s="1" t="s">
        <v>50</v>
      </c>
      <c r="G49" s="1" t="s">
        <v>226</v>
      </c>
    </row>
    <row r="50" spans="1:7" ht="12.75">
      <c r="A50" t="s">
        <v>87</v>
      </c>
      <c r="B50">
        <f>COUNTIF($A$20:$A50,Agcy)</f>
        <v>0</v>
      </c>
      <c r="C50" s="5" t="s">
        <v>134</v>
      </c>
      <c r="D50" s="5" t="s">
        <v>135</v>
      </c>
      <c r="F50" s="35">
        <v>1</v>
      </c>
      <c r="G50" s="1">
        <v>2</v>
      </c>
    </row>
    <row r="51" spans="1:8" ht="15.75">
      <c r="A51" t="s">
        <v>87</v>
      </c>
      <c r="B51">
        <f>COUNTIF($A$20:$A51,Agcy)</f>
        <v>0</v>
      </c>
      <c r="C51" s="5" t="s">
        <v>138</v>
      </c>
      <c r="D51" s="5" t="s">
        <v>139</v>
      </c>
      <c r="E51">
        <v>2</v>
      </c>
      <c r="F51" s="102" t="s">
        <v>57</v>
      </c>
      <c r="G51" s="35" t="str">
        <f>IF(Genre="Crime Network","Crime:","")</f>
        <v>Crime:</v>
      </c>
      <c r="H51" t="str">
        <f aca="true" t="shared" si="2" ref="H51:H56">HLOOKUP(Genre,$F$49:$G$56,ROW()-48,)</f>
        <v>Crime:</v>
      </c>
    </row>
    <row r="52" spans="1:8" ht="17.25">
      <c r="A52" s="4" t="s">
        <v>82</v>
      </c>
      <c r="B52">
        <f>COUNTIF($A$20:$A52,Agcy)</f>
        <v>0</v>
      </c>
      <c r="C52" s="5" t="s">
        <v>182</v>
      </c>
      <c r="D52" s="5" t="s">
        <v>183</v>
      </c>
      <c r="E52">
        <v>3</v>
      </c>
      <c r="F52" s="103" t="s">
        <v>58</v>
      </c>
      <c r="G52" s="35" t="str">
        <f>IF(Genre="Crime Network","Places:","")</f>
        <v>Places:</v>
      </c>
      <c r="H52" t="str">
        <f t="shared" si="2"/>
        <v>Places:</v>
      </c>
    </row>
    <row r="53" spans="1:8" ht="17.25">
      <c r="A53" s="4" t="s">
        <v>82</v>
      </c>
      <c r="B53">
        <f>COUNTIF($A$20:$A53,Agcy)</f>
        <v>0</v>
      </c>
      <c r="C53" s="5" t="s">
        <v>142</v>
      </c>
      <c r="D53" s="5" t="s">
        <v>175</v>
      </c>
      <c r="E53">
        <v>4</v>
      </c>
      <c r="F53" s="103" t="s">
        <v>60</v>
      </c>
      <c r="G53" s="35" t="str">
        <f>IF(Genre="Crime Network","Org:","")</f>
        <v>Org:</v>
      </c>
      <c r="H53" t="str">
        <f t="shared" si="2"/>
        <v>Org:</v>
      </c>
    </row>
    <row r="54" spans="1:8" ht="17.25">
      <c r="A54" s="4" t="s">
        <v>82</v>
      </c>
      <c r="B54">
        <f>COUNTIF($A$20:$A54,Agcy)</f>
        <v>0</v>
      </c>
      <c r="C54" s="5" t="s">
        <v>180</v>
      </c>
      <c r="D54" s="5" t="s">
        <v>181</v>
      </c>
      <c r="E54">
        <v>5</v>
      </c>
      <c r="F54" s="103" t="s">
        <v>59</v>
      </c>
      <c r="G54" s="35" t="str">
        <f>IF(Genre="Crime Network","Things:","")</f>
        <v>Things:</v>
      </c>
      <c r="H54" t="str">
        <f t="shared" si="2"/>
        <v>Things:</v>
      </c>
    </row>
    <row r="55" spans="1:8" ht="17.25">
      <c r="A55" s="4" t="s">
        <v>82</v>
      </c>
      <c r="B55">
        <f>COUNTIF($A$20:$A55,Agcy)</f>
        <v>0</v>
      </c>
      <c r="C55" s="5" t="s">
        <v>167</v>
      </c>
      <c r="D55" s="5" t="s">
        <v>168</v>
      </c>
      <c r="E55">
        <v>6</v>
      </c>
      <c r="F55" s="103" t="s">
        <v>61</v>
      </c>
      <c r="G55" s="35" t="str">
        <f>IF(Genre="Crime Network","Lang:","")</f>
        <v>Lang:</v>
      </c>
      <c r="H55" t="str">
        <f t="shared" si="2"/>
        <v>Lang:</v>
      </c>
    </row>
    <row r="56" spans="1:8" ht="17.25">
      <c r="A56" s="4" t="s">
        <v>82</v>
      </c>
      <c r="B56">
        <f>COUNTIF($A$20:$A56,Agcy)</f>
        <v>0</v>
      </c>
      <c r="C56" s="5" t="s">
        <v>154</v>
      </c>
      <c r="D56" s="5" t="s">
        <v>155</v>
      </c>
      <c r="E56">
        <v>7</v>
      </c>
      <c r="F56" s="103" t="s">
        <v>62</v>
      </c>
      <c r="G56" s="35" t="str">
        <f>IF(Genre="Crime Network","Talent:","")</f>
        <v>Talent:</v>
      </c>
      <c r="H56" t="str">
        <f t="shared" si="2"/>
        <v>Talent:</v>
      </c>
    </row>
    <row r="57" spans="1:7" ht="17.25">
      <c r="A57" s="4" t="s">
        <v>82</v>
      </c>
      <c r="B57">
        <f>COUNTIF($A$20:$A57,Agcy)</f>
        <v>0</v>
      </c>
      <c r="C57" s="5" t="s">
        <v>163</v>
      </c>
      <c r="D57" s="5" t="s">
        <v>164</v>
      </c>
      <c r="E57">
        <v>8</v>
      </c>
      <c r="G57" s="35"/>
    </row>
    <row r="58" spans="1:7" ht="17.25">
      <c r="A58" s="4" t="s">
        <v>82</v>
      </c>
      <c r="B58">
        <f>COUNTIF($A$20:$A58,Agcy)</f>
        <v>0</v>
      </c>
      <c r="C58" s="5" t="s">
        <v>190</v>
      </c>
      <c r="D58" s="5" t="s">
        <v>191</v>
      </c>
      <c r="G58" s="35"/>
    </row>
    <row r="59" spans="1:7" ht="17.25">
      <c r="A59" s="4" t="s">
        <v>82</v>
      </c>
      <c r="B59">
        <f>COUNTIF($A$20:$A59,Agcy)</f>
        <v>0</v>
      </c>
      <c r="C59" s="5" t="s">
        <v>188</v>
      </c>
      <c r="D59" s="5" t="s">
        <v>189</v>
      </c>
      <c r="G59" s="35"/>
    </row>
    <row r="60" spans="1:7" ht="17.25">
      <c r="A60" s="4" t="s">
        <v>82</v>
      </c>
      <c r="B60">
        <f>COUNTIF($A$20:$A60,Agcy)</f>
        <v>0</v>
      </c>
      <c r="C60" s="5" t="s">
        <v>173</v>
      </c>
      <c r="D60" s="5" t="s">
        <v>174</v>
      </c>
      <c r="G60" s="1"/>
    </row>
    <row r="61" spans="1:7" ht="17.25">
      <c r="A61" s="4" t="s">
        <v>82</v>
      </c>
      <c r="B61">
        <f>COUNTIF($A$20:$A61,Agcy)</f>
        <v>0</v>
      </c>
      <c r="C61" s="5" t="s">
        <v>178</v>
      </c>
      <c r="D61" s="5" t="s">
        <v>179</v>
      </c>
      <c r="G61" s="1"/>
    </row>
    <row r="62" spans="1:4" ht="17.25">
      <c r="A62" s="4" t="s">
        <v>82</v>
      </c>
      <c r="B62">
        <f>COUNTIF($A$20:$A62,Agcy)</f>
        <v>0</v>
      </c>
      <c r="C62" s="5" t="s">
        <v>186</v>
      </c>
      <c r="D62" s="5" t="s">
        <v>187</v>
      </c>
    </row>
    <row r="63" spans="1:4" ht="17.25">
      <c r="A63" s="4" t="s">
        <v>82</v>
      </c>
      <c r="B63">
        <f>COUNTIF($A$20:$A63,Agcy)</f>
        <v>0</v>
      </c>
      <c r="C63" s="5" t="s">
        <v>184</v>
      </c>
      <c r="D63" s="5" t="s">
        <v>185</v>
      </c>
    </row>
    <row r="64" spans="1:4" ht="17.25">
      <c r="A64" s="4" t="s">
        <v>82</v>
      </c>
      <c r="B64">
        <f>COUNTIF($A$20:$A64,Agcy)</f>
        <v>0</v>
      </c>
      <c r="C64" s="5" t="s">
        <v>176</v>
      </c>
      <c r="D64" s="5" t="s">
        <v>177</v>
      </c>
    </row>
    <row r="65" spans="1:4" ht="17.25">
      <c r="A65" s="4" t="s">
        <v>82</v>
      </c>
      <c r="B65">
        <f>COUNTIF($A$20:$A65,Agcy)</f>
        <v>0</v>
      </c>
      <c r="C65" s="5" t="s">
        <v>161</v>
      </c>
      <c r="D65" s="5" t="s">
        <v>162</v>
      </c>
    </row>
    <row r="66" spans="1:6" ht="17.25">
      <c r="A66" s="4" t="s">
        <v>82</v>
      </c>
      <c r="B66">
        <f>COUNTIF($A$20:$A66,Agcy)</f>
        <v>0</v>
      </c>
      <c r="C66" s="5" t="s">
        <v>148</v>
      </c>
      <c r="D66" s="5" t="s">
        <v>149</v>
      </c>
      <c r="F66" s="35"/>
    </row>
    <row r="67" spans="1:6" ht="17.25">
      <c r="A67" s="4" t="s">
        <v>82</v>
      </c>
      <c r="B67">
        <f>COUNTIF($A$20:$A67,Agcy)</f>
        <v>0</v>
      </c>
      <c r="C67" s="5" t="s">
        <v>150</v>
      </c>
      <c r="D67" s="5" t="s">
        <v>151</v>
      </c>
      <c r="F67" s="35"/>
    </row>
    <row r="68" spans="1:6" ht="17.25">
      <c r="A68" s="4" t="s">
        <v>82</v>
      </c>
      <c r="B68">
        <f>COUNTIF($A$20:$A68,Agcy)</f>
        <v>0</v>
      </c>
      <c r="C68" s="5" t="s">
        <v>159</v>
      </c>
      <c r="D68" s="5" t="s">
        <v>160</v>
      </c>
      <c r="F68" s="35"/>
    </row>
    <row r="69" spans="1:4" ht="17.25">
      <c r="A69" s="4" t="s">
        <v>82</v>
      </c>
      <c r="B69">
        <f>COUNTIF($A$20:$A69,Agcy)</f>
        <v>0</v>
      </c>
      <c r="C69" s="5" t="s">
        <v>169</v>
      </c>
      <c r="D69" s="5" t="s">
        <v>170</v>
      </c>
    </row>
    <row r="70" spans="1:4" ht="17.25">
      <c r="A70" s="4" t="s">
        <v>82</v>
      </c>
      <c r="B70">
        <f>COUNTIF($A$20:$A70,Agcy)</f>
        <v>0</v>
      </c>
      <c r="C70" s="5" t="s">
        <v>165</v>
      </c>
      <c r="D70" s="5" t="s">
        <v>166</v>
      </c>
    </row>
    <row r="71" spans="1:4" ht="17.25">
      <c r="A71" s="4" t="s">
        <v>82</v>
      </c>
      <c r="B71">
        <f>COUNTIF($A$20:$A71,Agcy)</f>
        <v>0</v>
      </c>
      <c r="C71" s="5" t="s">
        <v>138</v>
      </c>
      <c r="D71" s="5" t="s">
        <v>156</v>
      </c>
    </row>
    <row r="72" spans="1:4" ht="17.25">
      <c r="A72" s="4" t="s">
        <v>82</v>
      </c>
      <c r="B72">
        <f>COUNTIF($A$20:$A72,Agcy)</f>
        <v>0</v>
      </c>
      <c r="C72" s="5" t="s">
        <v>152</v>
      </c>
      <c r="D72" s="5" t="s">
        <v>153</v>
      </c>
    </row>
    <row r="73" spans="1:4" ht="17.25">
      <c r="A73" s="4" t="s">
        <v>82</v>
      </c>
      <c r="B73">
        <f>COUNTIF($A$20:$A73,Agcy)</f>
        <v>0</v>
      </c>
      <c r="C73" s="5" t="s">
        <v>157</v>
      </c>
      <c r="D73" s="5" t="s">
        <v>158</v>
      </c>
    </row>
    <row r="74" spans="1:4" ht="17.25">
      <c r="A74" s="4" t="s">
        <v>82</v>
      </c>
      <c r="B74">
        <f>COUNTIF($A$20:$A74,Agcy)</f>
        <v>0</v>
      </c>
      <c r="C74" s="5" t="s">
        <v>171</v>
      </c>
      <c r="D74" s="5" t="s">
        <v>172</v>
      </c>
    </row>
    <row r="75" spans="1:8" ht="17.25">
      <c r="A75" s="4"/>
      <c r="C75" s="5"/>
      <c r="D75" s="5"/>
      <c r="H75" t="s">
        <v>334</v>
      </c>
    </row>
    <row r="76" spans="1:8" ht="17.25">
      <c r="A76" s="4">
        <f aca="true" t="shared" si="3" ref="A76:A82">IF(Genre="Crime Network",Agcy,"")</f>
        <v>0</v>
      </c>
      <c r="B76">
        <f>COUNTIF($A$20:$A76,Agcy)</f>
        <v>1</v>
      </c>
      <c r="C76" s="5" t="s">
        <v>236</v>
      </c>
      <c r="D76" s="1" t="e">
        <f>CONCATENATE(E76," ",VLOOKUP(Bkg,LUP!$F$76:$G$80,2,))</f>
        <v>#N/A</v>
      </c>
      <c r="E76" s="5" t="s">
        <v>328</v>
      </c>
      <c r="F76" s="5" t="s">
        <v>246</v>
      </c>
      <c r="G76" s="5" t="s">
        <v>249</v>
      </c>
      <c r="H76" s="5" t="s">
        <v>336</v>
      </c>
    </row>
    <row r="77" spans="1:8" ht="17.25">
      <c r="A77" s="4">
        <f t="shared" si="3"/>
        <v>0</v>
      </c>
      <c r="B77">
        <f>COUNTIF($A$20:$A77,Agcy)</f>
        <v>2</v>
      </c>
      <c r="C77" s="5" t="s">
        <v>237</v>
      </c>
      <c r="D77" s="1" t="e">
        <f>CONCATENATE(E77," ",VLOOKUP(Bkg,LUP!$F$76:$G$80,2,))</f>
        <v>#N/A</v>
      </c>
      <c r="E77" s="5" t="s">
        <v>329</v>
      </c>
      <c r="F77" s="5" t="s">
        <v>247</v>
      </c>
      <c r="G77" s="5" t="s">
        <v>250</v>
      </c>
      <c r="H77" s="5" t="s">
        <v>337</v>
      </c>
    </row>
    <row r="78" spans="1:8" ht="17.25">
      <c r="A78" s="4">
        <f t="shared" si="3"/>
        <v>0</v>
      </c>
      <c r="B78">
        <f>COUNTIF($A$20:$A78,Agcy)</f>
        <v>3</v>
      </c>
      <c r="C78" s="5" t="s">
        <v>238</v>
      </c>
      <c r="D78" s="1" t="e">
        <f>CONCATENATE(E78," ",VLOOKUP(Bkg,LUP!$F$76:$G$80,2,))</f>
        <v>#N/A</v>
      </c>
      <c r="E78" s="5" t="s">
        <v>330</v>
      </c>
      <c r="F78" s="5" t="s">
        <v>248</v>
      </c>
      <c r="G78" s="5" t="s">
        <v>251</v>
      </c>
      <c r="H78" s="5" t="s">
        <v>335</v>
      </c>
    </row>
    <row r="79" spans="1:5" ht="17.25">
      <c r="A79" s="4">
        <f t="shared" si="3"/>
        <v>0</v>
      </c>
      <c r="B79">
        <f>COUNTIF($A$20:$A79,Agcy)</f>
        <v>4</v>
      </c>
      <c r="C79" s="5" t="s">
        <v>239</v>
      </c>
      <c r="D79" s="1" t="e">
        <f>CONCATENATE(E79," ",VLOOKUP(Bkg,LUP!$F$76:$G$80,2,))</f>
        <v>#N/A</v>
      </c>
      <c r="E79" s="5" t="s">
        <v>331</v>
      </c>
    </row>
    <row r="80" spans="1:5" ht="17.25">
      <c r="A80" s="4">
        <f t="shared" si="3"/>
        <v>0</v>
      </c>
      <c r="B80">
        <f>COUNTIF($A$20:$A80,Agcy)</f>
        <v>5</v>
      </c>
      <c r="C80" s="5" t="s">
        <v>240</v>
      </c>
      <c r="D80" s="1" t="e">
        <f>CONCATENATE(E80," ",VLOOKUP(Bkg,LUP!$F$76:$G$80,2,))</f>
        <v>#N/A</v>
      </c>
      <c r="E80" s="5" t="s">
        <v>243</v>
      </c>
    </row>
    <row r="81" spans="1:5" ht="17.25">
      <c r="A81" s="4">
        <f t="shared" si="3"/>
        <v>0</v>
      </c>
      <c r="B81">
        <f>COUNTIF($A$20:$A81,Agcy)</f>
        <v>6</v>
      </c>
      <c r="C81" s="5" t="s">
        <v>241</v>
      </c>
      <c r="D81" s="1" t="e">
        <f>CONCATENATE(E81," ",VLOOKUP(Bkg,LUP!$F$76:$G$80,2,))</f>
        <v>#N/A</v>
      </c>
      <c r="E81" s="5" t="s">
        <v>244</v>
      </c>
    </row>
    <row r="82" spans="1:5" ht="17.25">
      <c r="A82" s="4">
        <f t="shared" si="3"/>
        <v>0</v>
      </c>
      <c r="B82">
        <f>COUNTIF($A$20:$A82,Agcy)</f>
        <v>7</v>
      </c>
      <c r="C82" s="5" t="s">
        <v>242</v>
      </c>
      <c r="D82" s="1" t="e">
        <f>CONCATENATE(E82," ",VLOOKUP(Bkg,LUP!$F$76:$G$80,2,))</f>
        <v>#N/A</v>
      </c>
      <c r="E82" s="5" t="s">
        <v>245</v>
      </c>
    </row>
    <row r="83" spans="1:4" ht="17.25">
      <c r="A83" s="4"/>
      <c r="C83" s="5"/>
      <c r="D83" s="5"/>
    </row>
    <row r="84" spans="1:4" ht="17.25">
      <c r="A84" s="4"/>
      <c r="C84" s="5"/>
      <c r="D84" s="5"/>
    </row>
    <row r="85" spans="1:4" ht="17.25">
      <c r="A85" s="4"/>
      <c r="C85" s="5"/>
      <c r="D85" s="5"/>
    </row>
    <row r="86" spans="1:4" ht="17.25">
      <c r="A86" s="4"/>
      <c r="C86" s="5"/>
      <c r="D86" s="5"/>
    </row>
    <row r="87" spans="1:4" ht="17.25">
      <c r="A87" s="4"/>
      <c r="C87" s="5"/>
      <c r="D87" s="5"/>
    </row>
    <row r="88" spans="1:4" ht="17.25">
      <c r="A88" s="4"/>
      <c r="C88" s="5"/>
      <c r="D88" s="5"/>
    </row>
    <row r="89" spans="1:4" ht="17.25">
      <c r="A89" s="4"/>
      <c r="C89" s="5"/>
      <c r="D89" s="5"/>
    </row>
    <row r="90" spans="1:4" ht="17.25">
      <c r="A90" s="2"/>
      <c r="C90"/>
      <c r="D90" s="1"/>
    </row>
    <row r="91" spans="1:4" ht="17.25">
      <c r="A91" s="2"/>
      <c r="C91"/>
      <c r="D91" s="1"/>
    </row>
    <row r="92" spans="1:4" ht="17.25">
      <c r="A92" s="2"/>
      <c r="C92"/>
      <c r="D92" s="1"/>
    </row>
    <row r="93" spans="1:4" ht="17.25">
      <c r="A93" s="2"/>
      <c r="C93"/>
      <c r="D93" s="1"/>
    </row>
    <row r="94" spans="1:4" ht="17.25">
      <c r="A94" s="2"/>
      <c r="C94"/>
      <c r="D94" s="1"/>
    </row>
    <row r="95" spans="2:7" ht="17.25">
      <c r="B95" s="2" t="s">
        <v>319</v>
      </c>
      <c r="C95" t="s">
        <v>320</v>
      </c>
      <c r="D95" s="1" t="s">
        <v>321</v>
      </c>
      <c r="E95" t="s">
        <v>322</v>
      </c>
      <c r="F95" t="s">
        <v>323</v>
      </c>
      <c r="G95" t="s">
        <v>324</v>
      </c>
    </row>
    <row r="96" ht="12.75">
      <c r="C96"/>
    </row>
    <row r="97" spans="2:7" ht="12.75">
      <c r="B97" t="s">
        <v>259</v>
      </c>
      <c r="C97" t="s">
        <v>315</v>
      </c>
      <c r="D97" t="s">
        <v>260</v>
      </c>
      <c r="E97" t="s">
        <v>261</v>
      </c>
      <c r="F97" t="s">
        <v>262</v>
      </c>
      <c r="G97" t="s">
        <v>263</v>
      </c>
    </row>
    <row r="98" spans="2:7" ht="12.75">
      <c r="B98" t="s">
        <v>264</v>
      </c>
      <c r="C98" t="s">
        <v>315</v>
      </c>
      <c r="D98" t="s">
        <v>260</v>
      </c>
      <c r="E98" t="s">
        <v>265</v>
      </c>
      <c r="F98" t="s">
        <v>262</v>
      </c>
      <c r="G98" t="s">
        <v>266</v>
      </c>
    </row>
    <row r="99" spans="2:7" ht="15" customHeight="1">
      <c r="B99" t="s">
        <v>267</v>
      </c>
      <c r="C99" t="s">
        <v>315</v>
      </c>
      <c r="D99" t="s">
        <v>268</v>
      </c>
      <c r="E99" t="s">
        <v>269</v>
      </c>
      <c r="F99" t="s">
        <v>262</v>
      </c>
      <c r="G99" t="s">
        <v>263</v>
      </c>
    </row>
    <row r="100" spans="2:7" ht="12.75">
      <c r="B100" t="s">
        <v>270</v>
      </c>
      <c r="C100" t="s">
        <v>315</v>
      </c>
      <c r="D100" t="s">
        <v>271</v>
      </c>
      <c r="E100" t="s">
        <v>272</v>
      </c>
      <c r="F100" t="s">
        <v>273</v>
      </c>
      <c r="G100" t="s">
        <v>263</v>
      </c>
    </row>
    <row r="101" spans="2:7" ht="12.75">
      <c r="B101" t="s">
        <v>274</v>
      </c>
      <c r="C101" t="s">
        <v>316</v>
      </c>
      <c r="D101" t="s">
        <v>260</v>
      </c>
      <c r="E101" t="s">
        <v>275</v>
      </c>
      <c r="F101" t="s">
        <v>276</v>
      </c>
      <c r="G101" t="s">
        <v>266</v>
      </c>
    </row>
    <row r="102" spans="2:7" ht="12.75">
      <c r="B102" t="s">
        <v>277</v>
      </c>
      <c r="C102" t="s">
        <v>316</v>
      </c>
      <c r="D102" t="s">
        <v>271</v>
      </c>
      <c r="E102" t="s">
        <v>278</v>
      </c>
      <c r="F102" t="s">
        <v>279</v>
      </c>
      <c r="G102" t="s">
        <v>266</v>
      </c>
    </row>
    <row r="103" spans="2:7" ht="12.75">
      <c r="B103" t="s">
        <v>280</v>
      </c>
      <c r="C103" t="s">
        <v>316</v>
      </c>
      <c r="D103" t="s">
        <v>281</v>
      </c>
      <c r="E103" t="s">
        <v>282</v>
      </c>
      <c r="F103" t="s">
        <v>262</v>
      </c>
      <c r="G103" t="s">
        <v>266</v>
      </c>
    </row>
    <row r="104" spans="2:7" ht="12.75">
      <c r="B104" t="s">
        <v>283</v>
      </c>
      <c r="C104" t="s">
        <v>317</v>
      </c>
      <c r="D104" t="s">
        <v>284</v>
      </c>
      <c r="E104" t="s">
        <v>285</v>
      </c>
      <c r="F104" t="s">
        <v>262</v>
      </c>
      <c r="G104" t="s">
        <v>266</v>
      </c>
    </row>
    <row r="105" spans="2:7" ht="12.75">
      <c r="B105" t="s">
        <v>286</v>
      </c>
      <c r="C105" t="s">
        <v>316</v>
      </c>
      <c r="D105" t="s">
        <v>260</v>
      </c>
      <c r="E105" t="s">
        <v>287</v>
      </c>
      <c r="F105" t="s">
        <v>262</v>
      </c>
      <c r="G105" t="s">
        <v>266</v>
      </c>
    </row>
    <row r="106" spans="2:7" ht="12.75">
      <c r="B106" t="s">
        <v>288</v>
      </c>
      <c r="C106" t="s">
        <v>289</v>
      </c>
      <c r="D106" t="s">
        <v>268</v>
      </c>
      <c r="E106" t="s">
        <v>290</v>
      </c>
      <c r="F106" t="s">
        <v>291</v>
      </c>
      <c r="G106" t="s">
        <v>266</v>
      </c>
    </row>
    <row r="107" spans="2:7" ht="12.75">
      <c r="B107" t="s">
        <v>292</v>
      </c>
      <c r="C107" t="s">
        <v>289</v>
      </c>
      <c r="D107" t="s">
        <v>260</v>
      </c>
      <c r="E107" t="s">
        <v>293</v>
      </c>
      <c r="F107" t="s">
        <v>294</v>
      </c>
      <c r="G107" t="s">
        <v>266</v>
      </c>
    </row>
    <row r="108" spans="2:7" ht="12.75">
      <c r="B108" t="s">
        <v>295</v>
      </c>
      <c r="C108" t="s">
        <v>289</v>
      </c>
      <c r="D108" t="s">
        <v>260</v>
      </c>
      <c r="E108" t="s">
        <v>296</v>
      </c>
      <c r="F108" t="s">
        <v>297</v>
      </c>
      <c r="G108" t="s">
        <v>266</v>
      </c>
    </row>
    <row r="109" spans="2:7" ht="12.75">
      <c r="B109" t="s">
        <v>298</v>
      </c>
      <c r="C109" t="s">
        <v>318</v>
      </c>
      <c r="D109" t="s">
        <v>299</v>
      </c>
      <c r="E109" t="s">
        <v>300</v>
      </c>
      <c r="F109" t="s">
        <v>301</v>
      </c>
      <c r="G109" t="s">
        <v>302</v>
      </c>
    </row>
    <row r="110" spans="2:7" ht="12.75">
      <c r="B110" t="s">
        <v>303</v>
      </c>
      <c r="C110" t="s">
        <v>318</v>
      </c>
      <c r="D110" t="s">
        <v>299</v>
      </c>
      <c r="E110" t="s">
        <v>304</v>
      </c>
      <c r="F110" t="s">
        <v>305</v>
      </c>
      <c r="G110" t="s">
        <v>266</v>
      </c>
    </row>
    <row r="111" spans="2:10" ht="12.75">
      <c r="B111" t="s">
        <v>306</v>
      </c>
      <c r="C111" t="s">
        <v>318</v>
      </c>
      <c r="D111" t="s">
        <v>260</v>
      </c>
      <c r="E111" t="s">
        <v>307</v>
      </c>
      <c r="F111" t="s">
        <v>291</v>
      </c>
      <c r="G111" t="s">
        <v>308</v>
      </c>
      <c r="J111" s="23"/>
    </row>
    <row r="112" spans="2:11" ht="12.75">
      <c r="B112" t="s">
        <v>309</v>
      </c>
      <c r="C112" t="s">
        <v>315</v>
      </c>
      <c r="D112" t="s">
        <v>260</v>
      </c>
      <c r="E112" t="s">
        <v>310</v>
      </c>
      <c r="F112" t="s">
        <v>311</v>
      </c>
      <c r="G112" t="s">
        <v>312</v>
      </c>
      <c r="K112" s="23"/>
    </row>
    <row r="113" spans="2:7" ht="12.75">
      <c r="B113" t="s">
        <v>313</v>
      </c>
      <c r="C113" t="s">
        <v>316</v>
      </c>
      <c r="D113" t="s">
        <v>260</v>
      </c>
      <c r="E113" t="s">
        <v>296</v>
      </c>
      <c r="F113" t="s">
        <v>314</v>
      </c>
      <c r="G113" t="s">
        <v>263</v>
      </c>
    </row>
    <row r="114" spans="2:11" ht="12.75">
      <c r="B114" s="24" t="s">
        <v>325</v>
      </c>
      <c r="C114" t="s">
        <v>219</v>
      </c>
      <c r="D114" s="28" t="s">
        <v>217</v>
      </c>
      <c r="E114" s="28" t="s">
        <v>217</v>
      </c>
      <c r="F114" s="24" t="s">
        <v>218</v>
      </c>
      <c r="G114" s="106" t="str">
        <f>CONCATENATE(Print_PC!E23,"D10")</f>
        <v>D10</v>
      </c>
      <c r="K114" s="23"/>
    </row>
    <row r="115" spans="2:11" ht="12.75">
      <c r="B115" s="24" t="s">
        <v>326</v>
      </c>
      <c r="C115" t="s">
        <v>219</v>
      </c>
      <c r="D115" s="28" t="s">
        <v>217</v>
      </c>
      <c r="E115" s="28" t="s">
        <v>217</v>
      </c>
      <c r="F115" s="24" t="s">
        <v>218</v>
      </c>
      <c r="G115" s="106" t="str">
        <f>CONCATENATE(Print_PC!E23,"D10")</f>
        <v>D10</v>
      </c>
      <c r="H115" s="23"/>
      <c r="K115" s="23"/>
    </row>
    <row r="116" spans="2:8" ht="12.75">
      <c r="B116" t="s">
        <v>327</v>
      </c>
      <c r="C116" t="s">
        <v>219</v>
      </c>
      <c r="D116" s="28" t="s">
        <v>217</v>
      </c>
      <c r="E116" s="28" t="s">
        <v>217</v>
      </c>
      <c r="F116" s="24" t="s">
        <v>218</v>
      </c>
      <c r="G116" s="106" t="e">
        <f>CONCATENATE(Print_PC!E23-1,"D10")</f>
        <v>#VALUE!</v>
      </c>
      <c r="H116" s="29"/>
    </row>
    <row r="117" spans="2:10" ht="12.75">
      <c r="B117" s="23"/>
      <c r="C117"/>
      <c r="J117" s="23"/>
    </row>
    <row r="118" spans="2:11" ht="12.75">
      <c r="B118" s="23"/>
      <c r="C118"/>
      <c r="D118" s="23"/>
      <c r="F118" s="23"/>
      <c r="I118" s="23"/>
      <c r="K118" s="23"/>
    </row>
    <row r="119" ht="12.75">
      <c r="C119"/>
    </row>
    <row r="120" spans="2:3" ht="12.75">
      <c r="B120" s="23"/>
      <c r="C120"/>
    </row>
    <row r="121" spans="2:9" ht="12.75">
      <c r="B121" s="23"/>
      <c r="C121" s="23"/>
      <c r="D121" s="23"/>
      <c r="G121" s="23"/>
      <c r="I121" s="23"/>
    </row>
    <row r="122" spans="3:11" ht="12.75">
      <c r="C122"/>
      <c r="J122" s="23"/>
      <c r="K122" s="23"/>
    </row>
    <row r="123" spans="2:3" ht="12.75">
      <c r="B123" s="23"/>
      <c r="C123"/>
    </row>
    <row r="124" spans="2:12" ht="12.75">
      <c r="B124" s="23"/>
      <c r="C124" s="23"/>
      <c r="J124" s="23"/>
      <c r="L124" s="23"/>
    </row>
    <row r="125" spans="2:3" ht="12.75">
      <c r="B125" s="23"/>
      <c r="C125"/>
    </row>
    <row r="126" spans="2:21" ht="12.75">
      <c r="B126" s="23"/>
      <c r="C126"/>
      <c r="D126" s="23"/>
      <c r="E126" s="23"/>
      <c r="H126" s="23"/>
      <c r="J126" s="23"/>
      <c r="L126" s="23"/>
      <c r="U126" s="23" t="s">
        <v>216</v>
      </c>
    </row>
    <row r="127" spans="2:3" ht="12.75">
      <c r="B127" s="23"/>
      <c r="C127"/>
    </row>
    <row r="128" spans="2:8" ht="12.75">
      <c r="B128" s="23"/>
      <c r="C128"/>
      <c r="D128" s="23"/>
      <c r="E128" s="23"/>
      <c r="H128" s="23"/>
    </row>
    <row r="129" spans="2:3" ht="12.75">
      <c r="B129" s="23"/>
      <c r="C129"/>
    </row>
    <row r="130" spans="2:8" ht="12.75">
      <c r="B130" s="23"/>
      <c r="C130"/>
      <c r="D130" s="23"/>
      <c r="E130" s="23"/>
      <c r="H130" s="23"/>
    </row>
    <row r="131" spans="2:5" ht="17.25">
      <c r="B131" s="2"/>
      <c r="C131" s="3"/>
      <c r="E131" s="1"/>
    </row>
    <row r="132" spans="8:9" ht="12.75">
      <c r="H132" s="24" t="s">
        <v>217</v>
      </c>
      <c r="I132" s="24"/>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Lisa's Dungeon of Despair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Rosenthal</dc:creator>
  <cp:keywords/>
  <dc:description/>
  <cp:lastModifiedBy>Robert Rosenthal</cp:lastModifiedBy>
  <cp:lastPrinted>2009-09-12T20:17:50Z</cp:lastPrinted>
  <dcterms:created xsi:type="dcterms:W3CDTF">2009-07-25T21:13:23Z</dcterms:created>
  <dcterms:modified xsi:type="dcterms:W3CDTF">2010-04-12T21:26:37Z</dcterms:modified>
  <cp:category/>
  <cp:version/>
  <cp:contentType/>
  <cp:contentStatus/>
</cp:coreProperties>
</file>